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Familia David\Documents\ALEX\ALEXANDER TRABAJO\CONSULTORIA INTEGRAL\PJ ASOCIACION DE EXALUMNAS ENSEÑANZA\ASOCIACION 2024\INFORMES FINANCIEROS 2024\INFORMES DICIEMBRE DE 2024 ASOEX\"/>
    </mc:Choice>
  </mc:AlternateContent>
  <xr:revisionPtr revIDLastSave="0" documentId="13_ncr:1_{47C6793A-691F-4A38-AA28-59936760F53B}" xr6:coauthVersionLast="47" xr6:coauthVersionMax="47" xr10:uidLastSave="{00000000-0000-0000-0000-000000000000}"/>
  <bookViews>
    <workbookView xWindow="-120" yWindow="-120" windowWidth="29040" windowHeight="15720" activeTab="5" xr2:uid="{00000000-000D-0000-FFFF-FFFF00000000}"/>
  </bookViews>
  <sheets>
    <sheet name="BALANCE DIC-24" sheetId="3" r:id="rId1"/>
    <sheet name="ER AJUSTADO ENE-JUL CC 2024" sheetId="45" state="hidden" r:id="rId2"/>
    <sheet name="ER A JUL 2024" sheetId="85" state="hidden" r:id="rId3"/>
    <sheet name="EJECUCION SOC ENE 24" sheetId="81" state="hidden" r:id="rId4"/>
    <sheet name="EJECUCION SOC FEB 24" sheetId="95" state="hidden" r:id="rId5"/>
    <sheet name="ER INTEGRAL 24" sheetId="101" r:id="rId6"/>
    <sheet name="EJECUCION SOCIAL MARZO 24" sheetId="96" state="hidden" r:id="rId7"/>
    <sheet name="EJECUCION SOCIAL ABRIL 24" sheetId="97" state="hidden" r:id="rId8"/>
    <sheet name="EJECUCION SOCIAL MAY 24" sheetId="98" state="hidden" r:id="rId9"/>
    <sheet name="EJECUCION SOCIAL JUN 24" sheetId="99" state="hidden" r:id="rId10"/>
    <sheet name="EJECUCION SOCIAL JUL 24" sheetId="100" state="hidden" r:id="rId11"/>
    <sheet name="EJECUCION SOCIAL AGO 24" sheetId="102" state="hidden" r:id="rId12"/>
    <sheet name="EJECUCION SOCIAL SEPTIEMBRE" sheetId="103" state="hidden" r:id="rId13"/>
    <sheet name="EJECUCUCION SOCIAL OCTUBRE" sheetId="104" state="hidden" r:id="rId14"/>
    <sheet name="EJECUCION SOCIAL NOVIEMBRE" sheetId="105" state="hidden" r:id="rId15"/>
    <sheet name="EJECUCION SOCIAL DICIEMBRE" sheetId="106" r:id="rId16"/>
    <sheet name=" NOMINAS ENE-DIC" sheetId="33" r:id="rId17"/>
    <sheet name="EJECUCION COMFAMA" sheetId="78" r:id="rId18"/>
    <sheet name="%" sheetId="71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3" i="78" l="1"/>
  <c r="P25" i="78"/>
  <c r="P26" i="78"/>
  <c r="P27" i="78"/>
  <c r="P28" i="78"/>
  <c r="P29" i="78"/>
  <c r="P30" i="78"/>
  <c r="P31" i="78"/>
  <c r="P32" i="78"/>
  <c r="P33" i="78"/>
  <c r="P34" i="78"/>
  <c r="P6" i="78"/>
  <c r="P7" i="78"/>
  <c r="P8" i="78"/>
  <c r="P9" i="78"/>
  <c r="P10" i="78"/>
  <c r="P11" i="78"/>
  <c r="P12" i="78"/>
  <c r="P13" i="78"/>
  <c r="P14" i="78"/>
  <c r="P15" i="78"/>
  <c r="O34" i="78"/>
  <c r="O15" i="78"/>
  <c r="N34" i="78"/>
  <c r="N15" i="78"/>
  <c r="O33" i="78"/>
  <c r="O14" i="78"/>
  <c r="O25" i="78"/>
  <c r="O6" i="78"/>
  <c r="O27" i="78"/>
  <c r="O28" i="78"/>
  <c r="O8" i="78"/>
  <c r="O9" i="78"/>
  <c r="O26" i="78"/>
  <c r="O7" i="78"/>
  <c r="O24" i="78"/>
  <c r="O5" i="78"/>
  <c r="P126" i="101"/>
  <c r="D152" i="101"/>
  <c r="C152" i="101"/>
  <c r="O170" i="101"/>
  <c r="O169" i="101"/>
  <c r="M136" i="101"/>
  <c r="M131" i="101"/>
  <c r="N136" i="101"/>
  <c r="O128" i="101"/>
  <c r="D126" i="101"/>
  <c r="E126" i="101"/>
  <c r="F126" i="101"/>
  <c r="G126" i="101"/>
  <c r="H126" i="101"/>
  <c r="I126" i="101"/>
  <c r="J126" i="101"/>
  <c r="K126" i="101"/>
  <c r="L126" i="101"/>
  <c r="M126" i="101"/>
  <c r="N126" i="101"/>
  <c r="O126" i="101"/>
  <c r="C126" i="101"/>
  <c r="D35" i="3"/>
  <c r="N119" i="101"/>
  <c r="O119" i="101" s="1"/>
  <c r="N168" i="101"/>
  <c r="N162" i="101"/>
  <c r="N161" i="101"/>
  <c r="N158" i="101"/>
  <c r="N156" i="101"/>
  <c r="N159" i="101" s="1"/>
  <c r="N150" i="101"/>
  <c r="N149" i="101"/>
  <c r="N145" i="101"/>
  <c r="N144" i="101"/>
  <c r="N140" i="101"/>
  <c r="N139" i="101"/>
  <c r="N133" i="101"/>
  <c r="N134" i="101" s="1"/>
  <c r="N132" i="101"/>
  <c r="N131" i="101"/>
  <c r="N89" i="101"/>
  <c r="N48" i="101"/>
  <c r="N84" i="101" s="1"/>
  <c r="O35" i="101"/>
  <c r="B8" i="106"/>
  <c r="B19" i="106"/>
  <c r="N8" i="106"/>
  <c r="B17" i="106"/>
  <c r="N17" i="106" s="1"/>
  <c r="B5" i="106"/>
  <c r="AD5" i="106" s="1"/>
  <c r="B6" i="106"/>
  <c r="Y6" i="106" s="1"/>
  <c r="B7" i="106"/>
  <c r="B62" i="106"/>
  <c r="B41" i="106"/>
  <c r="B27" i="106"/>
  <c r="L27" i="106" s="1"/>
  <c r="T19" i="106"/>
  <c r="B23" i="106"/>
  <c r="N23" i="106" s="1"/>
  <c r="B11" i="106"/>
  <c r="L11" i="106" s="1"/>
  <c r="B10" i="106"/>
  <c r="J10" i="106" s="1"/>
  <c r="V6" i="106"/>
  <c r="I301" i="33"/>
  <c r="D303" i="33"/>
  <c r="D302" i="33"/>
  <c r="B9" i="106" s="1"/>
  <c r="D301" i="33"/>
  <c r="I296" i="33"/>
  <c r="I295" i="33"/>
  <c r="I293" i="33"/>
  <c r="C288" i="33"/>
  <c r="B288" i="33"/>
  <c r="E287" i="33"/>
  <c r="D287" i="33"/>
  <c r="I287" i="33" s="1"/>
  <c r="I286" i="33"/>
  <c r="E288" i="33"/>
  <c r="D288" i="33"/>
  <c r="I284" i="33"/>
  <c r="I283" i="33"/>
  <c r="G63" i="106"/>
  <c r="G62" i="106"/>
  <c r="F62" i="106"/>
  <c r="D62" i="106"/>
  <c r="H62" i="106" s="1"/>
  <c r="G61" i="106"/>
  <c r="F61" i="106"/>
  <c r="H61" i="106" s="1"/>
  <c r="D61" i="106"/>
  <c r="G60" i="106"/>
  <c r="F60" i="106"/>
  <c r="H60" i="106" s="1"/>
  <c r="D60" i="106"/>
  <c r="G59" i="106"/>
  <c r="F59" i="106"/>
  <c r="D59" i="106"/>
  <c r="G58" i="106"/>
  <c r="B63" i="106"/>
  <c r="B74" i="106" s="1"/>
  <c r="G57" i="106"/>
  <c r="F57" i="106"/>
  <c r="H57" i="106" s="1"/>
  <c r="D57" i="106"/>
  <c r="G56" i="106"/>
  <c r="F56" i="106"/>
  <c r="D56" i="106"/>
  <c r="G55" i="106"/>
  <c r="F55" i="106"/>
  <c r="D55" i="106"/>
  <c r="AG51" i="106"/>
  <c r="AG50" i="106"/>
  <c r="AD50" i="106"/>
  <c r="AE50" i="106" s="1"/>
  <c r="AA50" i="106"/>
  <c r="Y50" i="106"/>
  <c r="AB50" i="106" s="1"/>
  <c r="V50" i="106"/>
  <c r="T50" i="106"/>
  <c r="W50" i="106" s="1"/>
  <c r="Q50" i="106"/>
  <c r="R50" i="106" s="1"/>
  <c r="N50" i="106"/>
  <c r="L50" i="106"/>
  <c r="J50" i="106"/>
  <c r="H50" i="106"/>
  <c r="F50" i="106"/>
  <c r="D50" i="106"/>
  <c r="AG49" i="106"/>
  <c r="AD49" i="106"/>
  <c r="AE49" i="106" s="1"/>
  <c r="AA49" i="106"/>
  <c r="Y49" i="106"/>
  <c r="AB49" i="106" s="1"/>
  <c r="V49" i="106"/>
  <c r="T49" i="106"/>
  <c r="W49" i="106" s="1"/>
  <c r="Q49" i="106"/>
  <c r="R49" i="106" s="1"/>
  <c r="N49" i="106"/>
  <c r="O49" i="106" s="1"/>
  <c r="L49" i="106"/>
  <c r="J49" i="106"/>
  <c r="H49" i="106"/>
  <c r="F49" i="106"/>
  <c r="D49" i="106"/>
  <c r="AG48" i="106"/>
  <c r="AD48" i="106"/>
  <c r="AE48" i="106" s="1"/>
  <c r="AA48" i="106"/>
  <c r="AB48" i="106" s="1"/>
  <c r="V48" i="106"/>
  <c r="T48" i="106"/>
  <c r="W48" i="106" s="1"/>
  <c r="Q48" i="106"/>
  <c r="R48" i="106" s="1"/>
  <c r="N48" i="106"/>
  <c r="O48" i="106" s="1"/>
  <c r="L48" i="106"/>
  <c r="J48" i="106"/>
  <c r="H48" i="106"/>
  <c r="F48" i="106"/>
  <c r="D48" i="106"/>
  <c r="AG47" i="106"/>
  <c r="AD47" i="106"/>
  <c r="AE47" i="106" s="1"/>
  <c r="AA47" i="106"/>
  <c r="Y47" i="106"/>
  <c r="V47" i="106"/>
  <c r="T47" i="106"/>
  <c r="R47" i="106"/>
  <c r="Q47" i="106"/>
  <c r="N47" i="106"/>
  <c r="L47" i="106"/>
  <c r="J47" i="106"/>
  <c r="H47" i="106"/>
  <c r="F47" i="106"/>
  <c r="D47" i="106"/>
  <c r="AG46" i="106"/>
  <c r="AD46" i="106"/>
  <c r="AE46" i="106" s="1"/>
  <c r="AA46" i="106"/>
  <c r="AB46" i="106" s="1"/>
  <c r="Y46" i="106"/>
  <c r="V46" i="106"/>
  <c r="W46" i="106" s="1"/>
  <c r="T46" i="106"/>
  <c r="Q46" i="106"/>
  <c r="R46" i="106" s="1"/>
  <c r="N46" i="106"/>
  <c r="L46" i="106"/>
  <c r="J46" i="106"/>
  <c r="H46" i="106"/>
  <c r="F46" i="106"/>
  <c r="D46" i="106"/>
  <c r="AG45" i="106"/>
  <c r="AD45" i="106"/>
  <c r="AE45" i="106" s="1"/>
  <c r="AA45" i="106"/>
  <c r="Y45" i="106"/>
  <c r="V45" i="106"/>
  <c r="T45" i="106"/>
  <c r="W45" i="106" s="1"/>
  <c r="Q45" i="106"/>
  <c r="R45" i="106" s="1"/>
  <c r="N45" i="106"/>
  <c r="L45" i="106"/>
  <c r="J45" i="106"/>
  <c r="H45" i="106"/>
  <c r="F45" i="106"/>
  <c r="D45" i="106"/>
  <c r="AG44" i="106"/>
  <c r="AD44" i="106"/>
  <c r="AE44" i="106" s="1"/>
  <c r="AA44" i="106"/>
  <c r="Y44" i="106"/>
  <c r="V44" i="106"/>
  <c r="T44" i="106"/>
  <c r="W44" i="106" s="1"/>
  <c r="Q44" i="106"/>
  <c r="R44" i="106" s="1"/>
  <c r="N44" i="106"/>
  <c r="L44" i="106"/>
  <c r="J44" i="106"/>
  <c r="H44" i="106"/>
  <c r="F44" i="106"/>
  <c r="D44" i="106"/>
  <c r="AG43" i="106"/>
  <c r="AD43" i="106"/>
  <c r="AE43" i="106" s="1"/>
  <c r="AA43" i="106"/>
  <c r="Y43" i="106"/>
  <c r="V43" i="106"/>
  <c r="W43" i="106" s="1"/>
  <c r="T43" i="106"/>
  <c r="Q43" i="106"/>
  <c r="R43" i="106" s="1"/>
  <c r="N43" i="106"/>
  <c r="O43" i="106" s="1"/>
  <c r="L43" i="106"/>
  <c r="J43" i="106"/>
  <c r="H43" i="106"/>
  <c r="F43" i="106"/>
  <c r="D43" i="106"/>
  <c r="AG42" i="106"/>
  <c r="AD42" i="106"/>
  <c r="AE42" i="106" s="1"/>
  <c r="AA42" i="106"/>
  <c r="Y42" i="106"/>
  <c r="AB42" i="106" s="1"/>
  <c r="V42" i="106"/>
  <c r="T42" i="106"/>
  <c r="Q42" i="106"/>
  <c r="R42" i="106" s="1"/>
  <c r="J42" i="106"/>
  <c r="F42" i="106"/>
  <c r="D42" i="106"/>
  <c r="N42" i="106"/>
  <c r="AG41" i="106"/>
  <c r="AD41" i="106"/>
  <c r="AE41" i="106" s="1"/>
  <c r="AA41" i="106"/>
  <c r="Y41" i="106"/>
  <c r="AB41" i="106" s="1"/>
  <c r="V41" i="106"/>
  <c r="T41" i="106"/>
  <c r="Q41" i="106"/>
  <c r="R41" i="106" s="1"/>
  <c r="N41" i="106"/>
  <c r="L41" i="106"/>
  <c r="J41" i="106"/>
  <c r="H41" i="106"/>
  <c r="F41" i="106"/>
  <c r="D41" i="106"/>
  <c r="AG40" i="106"/>
  <c r="AD40" i="106"/>
  <c r="AE40" i="106" s="1"/>
  <c r="AA40" i="106"/>
  <c r="Y40" i="106"/>
  <c r="V40" i="106"/>
  <c r="T40" i="106"/>
  <c r="Q40" i="106"/>
  <c r="R40" i="106" s="1"/>
  <c r="N40" i="106"/>
  <c r="L40" i="106"/>
  <c r="J40" i="106"/>
  <c r="H40" i="106"/>
  <c r="F40" i="106"/>
  <c r="D40" i="106"/>
  <c r="AG39" i="106"/>
  <c r="AA39" i="106"/>
  <c r="V39" i="106"/>
  <c r="L39" i="106"/>
  <c r="F39" i="106"/>
  <c r="Q39" i="106"/>
  <c r="R39" i="106" s="1"/>
  <c r="AG38" i="106"/>
  <c r="AD38" i="106"/>
  <c r="AE38" i="106" s="1"/>
  <c r="AA38" i="106"/>
  <c r="Y38" i="106"/>
  <c r="V38" i="106"/>
  <c r="T38" i="106"/>
  <c r="Q38" i="106"/>
  <c r="R38" i="106" s="1"/>
  <c r="N38" i="106"/>
  <c r="L38" i="106"/>
  <c r="J38" i="106"/>
  <c r="H38" i="106"/>
  <c r="F38" i="106"/>
  <c r="D38" i="106"/>
  <c r="AG37" i="106"/>
  <c r="AD37" i="106"/>
  <c r="AE37" i="106" s="1"/>
  <c r="AA37" i="106"/>
  <c r="Y37" i="106"/>
  <c r="AB37" i="106" s="1"/>
  <c r="V37" i="106"/>
  <c r="T37" i="106"/>
  <c r="W37" i="106" s="1"/>
  <c r="Q37" i="106"/>
  <c r="R37" i="106" s="1"/>
  <c r="N37" i="106"/>
  <c r="L37" i="106"/>
  <c r="J37" i="106"/>
  <c r="H37" i="106"/>
  <c r="F37" i="106"/>
  <c r="D37" i="106"/>
  <c r="AG36" i="106"/>
  <c r="AD36" i="106"/>
  <c r="AE36" i="106" s="1"/>
  <c r="AA36" i="106"/>
  <c r="Y36" i="106"/>
  <c r="AB36" i="106" s="1"/>
  <c r="V36" i="106"/>
  <c r="T36" i="106"/>
  <c r="Q36" i="106"/>
  <c r="R36" i="106" s="1"/>
  <c r="N36" i="106"/>
  <c r="L36" i="106"/>
  <c r="J36" i="106"/>
  <c r="H36" i="106"/>
  <c r="F36" i="106"/>
  <c r="D36" i="106"/>
  <c r="AG35" i="106"/>
  <c r="AD35" i="106"/>
  <c r="AE35" i="106" s="1"/>
  <c r="AA35" i="106"/>
  <c r="AB35" i="106" s="1"/>
  <c r="Y35" i="106"/>
  <c r="V35" i="106"/>
  <c r="W35" i="106" s="1"/>
  <c r="T35" i="106"/>
  <c r="Q35" i="106"/>
  <c r="R35" i="106" s="1"/>
  <c r="N35" i="106"/>
  <c r="L35" i="106"/>
  <c r="J35" i="106"/>
  <c r="H35" i="106"/>
  <c r="F35" i="106"/>
  <c r="D35" i="106"/>
  <c r="AG34" i="106"/>
  <c r="AD34" i="106"/>
  <c r="AE34" i="106" s="1"/>
  <c r="AA34" i="106"/>
  <c r="AB34" i="106" s="1"/>
  <c r="Y34" i="106"/>
  <c r="V34" i="106"/>
  <c r="T34" i="106"/>
  <c r="Q34" i="106"/>
  <c r="R34" i="106" s="1"/>
  <c r="N34" i="106"/>
  <c r="L34" i="106"/>
  <c r="J34" i="106"/>
  <c r="H34" i="106"/>
  <c r="F34" i="106"/>
  <c r="O34" i="106" s="1"/>
  <c r="D34" i="106"/>
  <c r="AG33" i="106"/>
  <c r="AD33" i="106"/>
  <c r="AE33" i="106" s="1"/>
  <c r="AB33" i="106"/>
  <c r="AA33" i="106"/>
  <c r="Y33" i="106"/>
  <c r="V33" i="106"/>
  <c r="T33" i="106"/>
  <c r="Q33" i="106"/>
  <c r="R33" i="106" s="1"/>
  <c r="N33" i="106"/>
  <c r="L33" i="106"/>
  <c r="J33" i="106"/>
  <c r="H33" i="106"/>
  <c r="F33" i="106"/>
  <c r="D33" i="106"/>
  <c r="AG32" i="106"/>
  <c r="AD32" i="106"/>
  <c r="AE32" i="106" s="1"/>
  <c r="AA32" i="106"/>
  <c r="AB32" i="106" s="1"/>
  <c r="Y32" i="106"/>
  <c r="V32" i="106"/>
  <c r="W32" i="106" s="1"/>
  <c r="T32" i="106"/>
  <c r="Q32" i="106"/>
  <c r="R32" i="106" s="1"/>
  <c r="N32" i="106"/>
  <c r="L32" i="106"/>
  <c r="J32" i="106"/>
  <c r="H32" i="106"/>
  <c r="F32" i="106"/>
  <c r="D32" i="106"/>
  <c r="AG31" i="106"/>
  <c r="AD31" i="106"/>
  <c r="AE31" i="106" s="1"/>
  <c r="AA31" i="106"/>
  <c r="AB31" i="106" s="1"/>
  <c r="Y31" i="106"/>
  <c r="V31" i="106"/>
  <c r="T31" i="106"/>
  <c r="W31" i="106" s="1"/>
  <c r="Q31" i="106"/>
  <c r="R31" i="106" s="1"/>
  <c r="N31" i="106"/>
  <c r="L31" i="106"/>
  <c r="J31" i="106"/>
  <c r="H31" i="106"/>
  <c r="F31" i="106"/>
  <c r="D31" i="106"/>
  <c r="AG30" i="106"/>
  <c r="AD30" i="106"/>
  <c r="AE30" i="106" s="1"/>
  <c r="AA30" i="106"/>
  <c r="Y30" i="106"/>
  <c r="AB30" i="106" s="1"/>
  <c r="V30" i="106"/>
  <c r="T30" i="106"/>
  <c r="W30" i="106" s="1"/>
  <c r="Q30" i="106"/>
  <c r="R30" i="106" s="1"/>
  <c r="N30" i="106"/>
  <c r="O30" i="106" s="1"/>
  <c r="L30" i="106"/>
  <c r="J30" i="106"/>
  <c r="H30" i="106"/>
  <c r="F30" i="106"/>
  <c r="D30" i="106"/>
  <c r="AG29" i="106"/>
  <c r="AD29" i="106"/>
  <c r="AE29" i="106" s="1"/>
  <c r="AA29" i="106"/>
  <c r="Y29" i="106"/>
  <c r="V29" i="106"/>
  <c r="T29" i="106"/>
  <c r="Q29" i="106"/>
  <c r="R29" i="106" s="1"/>
  <c r="N29" i="106"/>
  <c r="O29" i="106" s="1"/>
  <c r="L29" i="106"/>
  <c r="J29" i="106"/>
  <c r="H29" i="106"/>
  <c r="F29" i="106"/>
  <c r="D29" i="106"/>
  <c r="AG28" i="106"/>
  <c r="AD28" i="106"/>
  <c r="AE28" i="106" s="1"/>
  <c r="AA28" i="106"/>
  <c r="Y28" i="106"/>
  <c r="V28" i="106"/>
  <c r="T28" i="106"/>
  <c r="W28" i="106" s="1"/>
  <c r="Q28" i="106"/>
  <c r="R28" i="106" s="1"/>
  <c r="N28" i="106"/>
  <c r="L28" i="106"/>
  <c r="J28" i="106"/>
  <c r="H28" i="106"/>
  <c r="F28" i="106"/>
  <c r="D28" i="106"/>
  <c r="AG27" i="106"/>
  <c r="AD27" i="106"/>
  <c r="AE27" i="106" s="1"/>
  <c r="AA27" i="106"/>
  <c r="Y27" i="106"/>
  <c r="AB27" i="106" s="1"/>
  <c r="V27" i="106"/>
  <c r="T27" i="106"/>
  <c r="Q27" i="106"/>
  <c r="R27" i="106" s="1"/>
  <c r="N27" i="106"/>
  <c r="H27" i="106"/>
  <c r="F27" i="106"/>
  <c r="D27" i="106"/>
  <c r="AG26" i="106"/>
  <c r="AD26" i="106"/>
  <c r="AE26" i="106" s="1"/>
  <c r="AA26" i="106"/>
  <c r="AB26" i="106" s="1"/>
  <c r="Y26" i="106"/>
  <c r="V26" i="106"/>
  <c r="W26" i="106" s="1"/>
  <c r="T26" i="106"/>
  <c r="Q26" i="106"/>
  <c r="R26" i="106" s="1"/>
  <c r="N26" i="106"/>
  <c r="L26" i="106"/>
  <c r="J26" i="106"/>
  <c r="H26" i="106"/>
  <c r="F26" i="106"/>
  <c r="D26" i="106"/>
  <c r="AG25" i="106"/>
  <c r="AD25" i="106"/>
  <c r="AE25" i="106" s="1"/>
  <c r="AA25" i="106"/>
  <c r="Y25" i="106"/>
  <c r="V25" i="106"/>
  <c r="T25" i="106"/>
  <c r="Q25" i="106"/>
  <c r="R25" i="106" s="1"/>
  <c r="N25" i="106"/>
  <c r="L25" i="106"/>
  <c r="J25" i="106"/>
  <c r="H25" i="106"/>
  <c r="F25" i="106"/>
  <c r="O25" i="106" s="1"/>
  <c r="D25" i="106"/>
  <c r="AG24" i="106"/>
  <c r="AD24" i="106"/>
  <c r="AE24" i="106" s="1"/>
  <c r="AB24" i="106"/>
  <c r="AA24" i="106"/>
  <c r="Y24" i="106"/>
  <c r="V24" i="106"/>
  <c r="T24" i="106"/>
  <c r="Q24" i="106"/>
  <c r="R24" i="106" s="1"/>
  <c r="N24" i="106"/>
  <c r="L24" i="106"/>
  <c r="J24" i="106"/>
  <c r="H24" i="106"/>
  <c r="F24" i="106"/>
  <c r="D24" i="106"/>
  <c r="AG23" i="106"/>
  <c r="AA23" i="106"/>
  <c r="V23" i="106"/>
  <c r="Q23" i="106"/>
  <c r="R23" i="106" s="1"/>
  <c r="L23" i="106"/>
  <c r="AG22" i="106"/>
  <c r="AD22" i="106"/>
  <c r="AE22" i="106" s="1"/>
  <c r="AB22" i="106"/>
  <c r="AA22" i="106"/>
  <c r="Y22" i="106"/>
  <c r="V22" i="106"/>
  <c r="W22" i="106" s="1"/>
  <c r="T22" i="106"/>
  <c r="Q22" i="106"/>
  <c r="R22" i="106" s="1"/>
  <c r="N22" i="106"/>
  <c r="L22" i="106"/>
  <c r="J22" i="106"/>
  <c r="H22" i="106"/>
  <c r="F22" i="106"/>
  <c r="D22" i="106"/>
  <c r="AG21" i="106"/>
  <c r="AD21" i="106"/>
  <c r="AE21" i="106" s="1"/>
  <c r="AA21" i="106"/>
  <c r="Y21" i="106"/>
  <c r="V21" i="106"/>
  <c r="T21" i="106"/>
  <c r="Q21" i="106"/>
  <c r="R21" i="106" s="1"/>
  <c r="N21" i="106"/>
  <c r="L21" i="106"/>
  <c r="J21" i="106"/>
  <c r="H21" i="106"/>
  <c r="F21" i="106"/>
  <c r="D21" i="106"/>
  <c r="AG20" i="106"/>
  <c r="AD20" i="106"/>
  <c r="AE20" i="106" s="1"/>
  <c r="AB20" i="106"/>
  <c r="AA20" i="106"/>
  <c r="Y20" i="106"/>
  <c r="V20" i="106"/>
  <c r="T20" i="106"/>
  <c r="W20" i="106" s="1"/>
  <c r="Q20" i="106"/>
  <c r="R20" i="106" s="1"/>
  <c r="N20" i="106"/>
  <c r="O20" i="106" s="1"/>
  <c r="L20" i="106"/>
  <c r="J20" i="106"/>
  <c r="H20" i="106"/>
  <c r="F20" i="106"/>
  <c r="D20" i="106"/>
  <c r="AG19" i="106"/>
  <c r="AD19" i="106"/>
  <c r="AE19" i="106" s="1"/>
  <c r="AA19" i="106"/>
  <c r="N19" i="106"/>
  <c r="L19" i="106"/>
  <c r="H19" i="106"/>
  <c r="D19" i="106"/>
  <c r="AG18" i="106"/>
  <c r="AD18" i="106"/>
  <c r="AE18" i="106" s="1"/>
  <c r="AA18" i="106"/>
  <c r="Y18" i="106"/>
  <c r="V18" i="106"/>
  <c r="T18" i="106"/>
  <c r="Q18" i="106"/>
  <c r="R18" i="106" s="1"/>
  <c r="N18" i="106"/>
  <c r="L18" i="106"/>
  <c r="J18" i="106"/>
  <c r="H18" i="106"/>
  <c r="F18" i="106"/>
  <c r="D18" i="106"/>
  <c r="AG17" i="106"/>
  <c r="Q17" i="106"/>
  <c r="R17" i="106" s="1"/>
  <c r="AG16" i="106"/>
  <c r="AD16" i="106"/>
  <c r="AE16" i="106" s="1"/>
  <c r="AA16" i="106"/>
  <c r="Y16" i="106"/>
  <c r="AB16" i="106" s="1"/>
  <c r="V16" i="106"/>
  <c r="T16" i="106"/>
  <c r="Q16" i="106"/>
  <c r="R16" i="106" s="1"/>
  <c r="N16" i="106"/>
  <c r="L16" i="106"/>
  <c r="J16" i="106"/>
  <c r="H16" i="106"/>
  <c r="F16" i="106"/>
  <c r="D16" i="106"/>
  <c r="AG12" i="106"/>
  <c r="X11" i="106"/>
  <c r="Y11" i="106" s="1"/>
  <c r="U11" i="106"/>
  <c r="T11" i="106"/>
  <c r="Q11" i="106"/>
  <c r="R11" i="106" s="1"/>
  <c r="P11" i="106"/>
  <c r="K11" i="106"/>
  <c r="I11" i="106"/>
  <c r="G11" i="106"/>
  <c r="E11" i="106"/>
  <c r="D11" i="106"/>
  <c r="C11" i="106"/>
  <c r="AG11" i="106" s="1"/>
  <c r="AD11" i="106"/>
  <c r="AE11" i="106" s="1"/>
  <c r="X10" i="106"/>
  <c r="Y10" i="106" s="1"/>
  <c r="U10" i="106"/>
  <c r="Q10" i="106"/>
  <c r="R10" i="106" s="1"/>
  <c r="P10" i="106"/>
  <c r="N10" i="106"/>
  <c r="K10" i="106"/>
  <c r="I10" i="106"/>
  <c r="H10" i="106"/>
  <c r="G10" i="106"/>
  <c r="E10" i="106"/>
  <c r="AG10" i="106" s="1"/>
  <c r="D10" i="106"/>
  <c r="C10" i="106"/>
  <c r="T10" i="106"/>
  <c r="X9" i="106"/>
  <c r="U9" i="106"/>
  <c r="P9" i="106"/>
  <c r="K9" i="106"/>
  <c r="AG9" i="106" s="1"/>
  <c r="I9" i="106"/>
  <c r="G9" i="106"/>
  <c r="E9" i="106"/>
  <c r="C9" i="106"/>
  <c r="AG8" i="106"/>
  <c r="AC7" i="106"/>
  <c r="X7" i="106"/>
  <c r="S7" i="106"/>
  <c r="T7" i="106" s="1"/>
  <c r="P7" i="106"/>
  <c r="Q7" i="106" s="1"/>
  <c r="R7" i="106" s="1"/>
  <c r="I7" i="106"/>
  <c r="G7" i="106"/>
  <c r="E7" i="106"/>
  <c r="C7" i="106"/>
  <c r="AG7" i="106" s="1"/>
  <c r="H7" i="106"/>
  <c r="AC6" i="106"/>
  <c r="AD6" i="106" s="1"/>
  <c r="AE6" i="106" s="1"/>
  <c r="Z6" i="106"/>
  <c r="AA6" i="106" s="1"/>
  <c r="X6" i="106"/>
  <c r="U6" i="106"/>
  <c r="S6" i="106"/>
  <c r="Q6" i="106"/>
  <c r="R6" i="106" s="1"/>
  <c r="P6" i="106"/>
  <c r="M6" i="106"/>
  <c r="K6" i="106"/>
  <c r="J6" i="106"/>
  <c r="I6" i="106"/>
  <c r="G6" i="106"/>
  <c r="H6" i="106" s="1"/>
  <c r="E6" i="106"/>
  <c r="C6" i="106"/>
  <c r="AG6" i="106" s="1"/>
  <c r="AC5" i="106"/>
  <c r="Z5" i="106"/>
  <c r="Y5" i="106"/>
  <c r="X5" i="106"/>
  <c r="U5" i="106"/>
  <c r="V5" i="106" s="1"/>
  <c r="S5" i="106"/>
  <c r="P5" i="106"/>
  <c r="Q5" i="106" s="1"/>
  <c r="I5" i="106"/>
  <c r="G5" i="106"/>
  <c r="AG5" i="106" s="1"/>
  <c r="E5" i="106"/>
  <c r="C5" i="106"/>
  <c r="N43" i="78"/>
  <c r="N33" i="78"/>
  <c r="N14" i="78"/>
  <c r="N28" i="78"/>
  <c r="N9" i="78"/>
  <c r="N26" i="78"/>
  <c r="N7" i="78"/>
  <c r="N24" i="78"/>
  <c r="N5" i="78"/>
  <c r="M158" i="101"/>
  <c r="M156" i="101"/>
  <c r="M162" i="101"/>
  <c r="M161" i="101"/>
  <c r="M150" i="101"/>
  <c r="M149" i="101"/>
  <c r="M145" i="101"/>
  <c r="M144" i="101"/>
  <c r="M140" i="101"/>
  <c r="M139" i="101"/>
  <c r="M133" i="101"/>
  <c r="M132" i="101"/>
  <c r="M89" i="101"/>
  <c r="M120" i="101" s="1"/>
  <c r="M48" i="101"/>
  <c r="B58" i="105"/>
  <c r="B63" i="105" s="1"/>
  <c r="B74" i="105" s="1"/>
  <c r="B42" i="105"/>
  <c r="AA42" i="105" s="1"/>
  <c r="B39" i="105"/>
  <c r="T39" i="105" s="1"/>
  <c r="B23" i="105"/>
  <c r="L23" i="105" s="1"/>
  <c r="B11" i="105"/>
  <c r="F11" i="105" s="1"/>
  <c r="B10" i="105"/>
  <c r="J10" i="105" s="1"/>
  <c r="B9" i="105"/>
  <c r="B5" i="105"/>
  <c r="B8" i="105"/>
  <c r="D8" i="105" s="1"/>
  <c r="B7" i="105"/>
  <c r="B6" i="105"/>
  <c r="F6" i="105" s="1"/>
  <c r="AA5" i="105"/>
  <c r="G63" i="105"/>
  <c r="G62" i="105"/>
  <c r="F62" i="105"/>
  <c r="D62" i="105"/>
  <c r="G61" i="105"/>
  <c r="F61" i="105"/>
  <c r="D61" i="105"/>
  <c r="G60" i="105"/>
  <c r="F60" i="105"/>
  <c r="H60" i="105" s="1"/>
  <c r="D60" i="105"/>
  <c r="G59" i="105"/>
  <c r="F59" i="105"/>
  <c r="D59" i="105"/>
  <c r="G58" i="105"/>
  <c r="F58" i="105"/>
  <c r="G57" i="105"/>
  <c r="F57" i="105"/>
  <c r="D57" i="105"/>
  <c r="G56" i="105"/>
  <c r="F56" i="105"/>
  <c r="H56" i="105" s="1"/>
  <c r="D56" i="105"/>
  <c r="G55" i="105"/>
  <c r="F55" i="105"/>
  <c r="D55" i="105"/>
  <c r="AG51" i="105"/>
  <c r="AG50" i="105"/>
  <c r="AD50" i="105"/>
  <c r="AE50" i="105" s="1"/>
  <c r="AA50" i="105"/>
  <c r="Y50" i="105"/>
  <c r="AB50" i="105" s="1"/>
  <c r="V50" i="105"/>
  <c r="T50" i="105"/>
  <c r="W50" i="105" s="1"/>
  <c r="Q50" i="105"/>
  <c r="R50" i="105" s="1"/>
  <c r="N50" i="105"/>
  <c r="L50" i="105"/>
  <c r="J50" i="105"/>
  <c r="H50" i="105"/>
  <c r="F50" i="105"/>
  <c r="D50" i="105"/>
  <c r="AG49" i="105"/>
  <c r="AD49" i="105"/>
  <c r="AE49" i="105" s="1"/>
  <c r="AA49" i="105"/>
  <c r="Y49" i="105"/>
  <c r="W49" i="105"/>
  <c r="V49" i="105"/>
  <c r="T49" i="105"/>
  <c r="Q49" i="105"/>
  <c r="R49" i="105" s="1"/>
  <c r="N49" i="105"/>
  <c r="L49" i="105"/>
  <c r="J49" i="105"/>
  <c r="H49" i="105"/>
  <c r="F49" i="105"/>
  <c r="D49" i="105"/>
  <c r="AG48" i="105"/>
  <c r="AE48" i="105"/>
  <c r="AD48" i="105"/>
  <c r="AA48" i="105"/>
  <c r="AB48" i="105" s="1"/>
  <c r="V48" i="105"/>
  <c r="T48" i="105"/>
  <c r="W48" i="105" s="1"/>
  <c r="R48" i="105"/>
  <c r="Q48" i="105"/>
  <c r="N48" i="105"/>
  <c r="O48" i="105" s="1"/>
  <c r="L48" i="105"/>
  <c r="J48" i="105"/>
  <c r="H48" i="105"/>
  <c r="F48" i="105"/>
  <c r="D48" i="105"/>
  <c r="AG47" i="105"/>
  <c r="AD47" i="105"/>
  <c r="AE47" i="105" s="1"/>
  <c r="AA47" i="105"/>
  <c r="Y47" i="105"/>
  <c r="AB47" i="105" s="1"/>
  <c r="V47" i="105"/>
  <c r="T47" i="105"/>
  <c r="Q47" i="105"/>
  <c r="R47" i="105" s="1"/>
  <c r="N47" i="105"/>
  <c r="L47" i="105"/>
  <c r="J47" i="105"/>
  <c r="H47" i="105"/>
  <c r="F47" i="105"/>
  <c r="D47" i="105"/>
  <c r="AG46" i="105"/>
  <c r="AD46" i="105"/>
  <c r="AE46" i="105" s="1"/>
  <c r="AA46" i="105"/>
  <c r="Y46" i="105"/>
  <c r="V46" i="105"/>
  <c r="T46" i="105"/>
  <c r="Q46" i="105"/>
  <c r="R46" i="105" s="1"/>
  <c r="N46" i="105"/>
  <c r="L46" i="105"/>
  <c r="J46" i="105"/>
  <c r="H46" i="105"/>
  <c r="F46" i="105"/>
  <c r="D46" i="105"/>
  <c r="AG45" i="105"/>
  <c r="AD45" i="105"/>
  <c r="AE45" i="105" s="1"/>
  <c r="AA45" i="105"/>
  <c r="Y45" i="105"/>
  <c r="V45" i="105"/>
  <c r="T45" i="105"/>
  <c r="Q45" i="105"/>
  <c r="R45" i="105" s="1"/>
  <c r="N45" i="105"/>
  <c r="L45" i="105"/>
  <c r="J45" i="105"/>
  <c r="H45" i="105"/>
  <c r="F45" i="105"/>
  <c r="D45" i="105"/>
  <c r="AG44" i="105"/>
  <c r="AD44" i="105"/>
  <c r="AE44" i="105" s="1"/>
  <c r="AA44" i="105"/>
  <c r="Y44" i="105"/>
  <c r="V44" i="105"/>
  <c r="T44" i="105"/>
  <c r="W44" i="105" s="1"/>
  <c r="Q44" i="105"/>
  <c r="R44" i="105" s="1"/>
  <c r="N44" i="105"/>
  <c r="L44" i="105"/>
  <c r="J44" i="105"/>
  <c r="H44" i="105"/>
  <c r="F44" i="105"/>
  <c r="D44" i="105"/>
  <c r="AG43" i="105"/>
  <c r="AD43" i="105"/>
  <c r="AE43" i="105" s="1"/>
  <c r="AA43" i="105"/>
  <c r="Y43" i="105"/>
  <c r="V43" i="105"/>
  <c r="T43" i="105"/>
  <c r="W43" i="105" s="1"/>
  <c r="R43" i="105"/>
  <c r="Q43" i="105"/>
  <c r="N43" i="105"/>
  <c r="L43" i="105"/>
  <c r="J43" i="105"/>
  <c r="H43" i="105"/>
  <c r="F43" i="105"/>
  <c r="D43" i="105"/>
  <c r="AG42" i="105"/>
  <c r="N42" i="105"/>
  <c r="L42" i="105"/>
  <c r="H42" i="105"/>
  <c r="F42" i="105"/>
  <c r="D42" i="105"/>
  <c r="AD42" i="105"/>
  <c r="AE42" i="105" s="1"/>
  <c r="AG41" i="105"/>
  <c r="AD41" i="105"/>
  <c r="AE41" i="105" s="1"/>
  <c r="V41" i="105"/>
  <c r="N41" i="105"/>
  <c r="J41" i="105"/>
  <c r="H41" i="105"/>
  <c r="AA41" i="105"/>
  <c r="AG40" i="105"/>
  <c r="Y40" i="105"/>
  <c r="Q40" i="105"/>
  <c r="R40" i="105" s="1"/>
  <c r="H40" i="105"/>
  <c r="D40" i="105"/>
  <c r="V40" i="105"/>
  <c r="AG39" i="105"/>
  <c r="AG38" i="105"/>
  <c r="AD38" i="105"/>
  <c r="AE38" i="105" s="1"/>
  <c r="AA38" i="105"/>
  <c r="Y38" i="105"/>
  <c r="AB38" i="105" s="1"/>
  <c r="V38" i="105"/>
  <c r="T38" i="105"/>
  <c r="W38" i="105" s="1"/>
  <c r="Q38" i="105"/>
  <c r="R38" i="105" s="1"/>
  <c r="N38" i="105"/>
  <c r="L38" i="105"/>
  <c r="J38" i="105"/>
  <c r="H38" i="105"/>
  <c r="F38" i="105"/>
  <c r="D38" i="105"/>
  <c r="AG37" i="105"/>
  <c r="AD37" i="105"/>
  <c r="AE37" i="105" s="1"/>
  <c r="AB37" i="105"/>
  <c r="AA37" i="105"/>
  <c r="Y37" i="105"/>
  <c r="V37" i="105"/>
  <c r="T37" i="105"/>
  <c r="Q37" i="105"/>
  <c r="R37" i="105" s="1"/>
  <c r="N37" i="105"/>
  <c r="L37" i="105"/>
  <c r="J37" i="105"/>
  <c r="H37" i="105"/>
  <c r="F37" i="105"/>
  <c r="D37" i="105"/>
  <c r="AG36" i="105"/>
  <c r="AD36" i="105"/>
  <c r="AE36" i="105" s="1"/>
  <c r="AA36" i="105"/>
  <c r="Y36" i="105"/>
  <c r="V36" i="105"/>
  <c r="T36" i="105"/>
  <c r="Q36" i="105"/>
  <c r="R36" i="105" s="1"/>
  <c r="N36" i="105"/>
  <c r="L36" i="105"/>
  <c r="J36" i="105"/>
  <c r="H36" i="105"/>
  <c r="F36" i="105"/>
  <c r="D36" i="105"/>
  <c r="AG35" i="105"/>
  <c r="AD35" i="105"/>
  <c r="AE35" i="105" s="1"/>
  <c r="AA35" i="105"/>
  <c r="Y35" i="105"/>
  <c r="AB35" i="105" s="1"/>
  <c r="V35" i="105"/>
  <c r="T35" i="105"/>
  <c r="R35" i="105"/>
  <c r="Q35" i="105"/>
  <c r="N35" i="105"/>
  <c r="O35" i="105" s="1"/>
  <c r="L35" i="105"/>
  <c r="J35" i="105"/>
  <c r="H35" i="105"/>
  <c r="F35" i="105"/>
  <c r="D35" i="105"/>
  <c r="AG34" i="105"/>
  <c r="AE34" i="105"/>
  <c r="AD34" i="105"/>
  <c r="AA34" i="105"/>
  <c r="Y34" i="105"/>
  <c r="AB34" i="105" s="1"/>
  <c r="V34" i="105"/>
  <c r="T34" i="105"/>
  <c r="Q34" i="105"/>
  <c r="R34" i="105" s="1"/>
  <c r="N34" i="105"/>
  <c r="L34" i="105"/>
  <c r="J34" i="105"/>
  <c r="H34" i="105"/>
  <c r="F34" i="105"/>
  <c r="D34" i="105"/>
  <c r="AG33" i="105"/>
  <c r="AD33" i="105"/>
  <c r="AE33" i="105" s="1"/>
  <c r="AA33" i="105"/>
  <c r="Y33" i="105"/>
  <c r="V33" i="105"/>
  <c r="T33" i="105"/>
  <c r="Q33" i="105"/>
  <c r="R33" i="105" s="1"/>
  <c r="N33" i="105"/>
  <c r="O33" i="105" s="1"/>
  <c r="L33" i="105"/>
  <c r="J33" i="105"/>
  <c r="H33" i="105"/>
  <c r="F33" i="105"/>
  <c r="D33" i="105"/>
  <c r="AG32" i="105"/>
  <c r="AD32" i="105"/>
  <c r="AE32" i="105" s="1"/>
  <c r="AA32" i="105"/>
  <c r="Y32" i="105"/>
  <c r="AB32" i="105" s="1"/>
  <c r="V32" i="105"/>
  <c r="T32" i="105"/>
  <c r="W32" i="105" s="1"/>
  <c r="R32" i="105"/>
  <c r="Q32" i="105"/>
  <c r="N32" i="105"/>
  <c r="O32" i="105" s="1"/>
  <c r="L32" i="105"/>
  <c r="J32" i="105"/>
  <c r="H32" i="105"/>
  <c r="F32" i="105"/>
  <c r="D32" i="105"/>
  <c r="AG31" i="105"/>
  <c r="AD31" i="105"/>
  <c r="AE31" i="105" s="1"/>
  <c r="AB31" i="105"/>
  <c r="AA31" i="105"/>
  <c r="Y31" i="105"/>
  <c r="V31" i="105"/>
  <c r="T31" i="105"/>
  <c r="Q31" i="105"/>
  <c r="R31" i="105" s="1"/>
  <c r="N31" i="105"/>
  <c r="L31" i="105"/>
  <c r="J31" i="105"/>
  <c r="H31" i="105"/>
  <c r="F31" i="105"/>
  <c r="D31" i="105"/>
  <c r="AG30" i="105"/>
  <c r="AD30" i="105"/>
  <c r="AE30" i="105" s="1"/>
  <c r="AA30" i="105"/>
  <c r="Y30" i="105"/>
  <c r="AB30" i="105" s="1"/>
  <c r="V30" i="105"/>
  <c r="T30" i="105"/>
  <c r="Q30" i="105"/>
  <c r="R30" i="105" s="1"/>
  <c r="N30" i="105"/>
  <c r="O30" i="105" s="1"/>
  <c r="L30" i="105"/>
  <c r="J30" i="105"/>
  <c r="H30" i="105"/>
  <c r="F30" i="105"/>
  <c r="D30" i="105"/>
  <c r="AG29" i="105"/>
  <c r="AD29" i="105"/>
  <c r="AE29" i="105" s="1"/>
  <c r="AA29" i="105"/>
  <c r="Y29" i="105"/>
  <c r="V29" i="105"/>
  <c r="T29" i="105"/>
  <c r="W29" i="105" s="1"/>
  <c r="R29" i="105"/>
  <c r="Q29" i="105"/>
  <c r="N29" i="105"/>
  <c r="O29" i="105" s="1"/>
  <c r="L29" i="105"/>
  <c r="J29" i="105"/>
  <c r="H29" i="105"/>
  <c r="F29" i="105"/>
  <c r="D29" i="105"/>
  <c r="AG28" i="105"/>
  <c r="AD28" i="105"/>
  <c r="AE28" i="105" s="1"/>
  <c r="AB28" i="105"/>
  <c r="AA28" i="105"/>
  <c r="Y28" i="105"/>
  <c r="V28" i="105"/>
  <c r="T28" i="105"/>
  <c r="Q28" i="105"/>
  <c r="R28" i="105" s="1"/>
  <c r="N28" i="105"/>
  <c r="L28" i="105"/>
  <c r="J28" i="105"/>
  <c r="H28" i="105"/>
  <c r="F28" i="105"/>
  <c r="D28" i="105"/>
  <c r="AG27" i="105"/>
  <c r="AD27" i="105"/>
  <c r="AE27" i="105" s="1"/>
  <c r="AA27" i="105"/>
  <c r="Y27" i="105"/>
  <c r="V27" i="105"/>
  <c r="W27" i="105" s="1"/>
  <c r="T27" i="105"/>
  <c r="Q27" i="105"/>
  <c r="R27" i="105" s="1"/>
  <c r="N27" i="105"/>
  <c r="O27" i="105" s="1"/>
  <c r="L27" i="105"/>
  <c r="J27" i="105"/>
  <c r="H27" i="105"/>
  <c r="F27" i="105"/>
  <c r="D27" i="105"/>
  <c r="AG26" i="105"/>
  <c r="AD26" i="105"/>
  <c r="AE26" i="105" s="1"/>
  <c r="AA26" i="105"/>
  <c r="Y26" i="105"/>
  <c r="V26" i="105"/>
  <c r="T26" i="105"/>
  <c r="W26" i="105" s="1"/>
  <c r="Q26" i="105"/>
  <c r="R26" i="105" s="1"/>
  <c r="N26" i="105"/>
  <c r="L26" i="105"/>
  <c r="J26" i="105"/>
  <c r="H26" i="105"/>
  <c r="F26" i="105"/>
  <c r="D26" i="105"/>
  <c r="AG25" i="105"/>
  <c r="AD25" i="105"/>
  <c r="AE25" i="105" s="1"/>
  <c r="AA25" i="105"/>
  <c r="Y25" i="105"/>
  <c r="AB25" i="105" s="1"/>
  <c r="V25" i="105"/>
  <c r="T25" i="105"/>
  <c r="Q25" i="105"/>
  <c r="R25" i="105" s="1"/>
  <c r="N25" i="105"/>
  <c r="L25" i="105"/>
  <c r="J25" i="105"/>
  <c r="H25" i="105"/>
  <c r="F25" i="105"/>
  <c r="D25" i="105"/>
  <c r="AG24" i="105"/>
  <c r="AD24" i="105"/>
  <c r="AE24" i="105" s="1"/>
  <c r="AA24" i="105"/>
  <c r="Y24" i="105"/>
  <c r="AB24" i="105" s="1"/>
  <c r="V24" i="105"/>
  <c r="W24" i="105" s="1"/>
  <c r="T24" i="105"/>
  <c r="Q24" i="105"/>
  <c r="R24" i="105" s="1"/>
  <c r="N24" i="105"/>
  <c r="L24" i="105"/>
  <c r="J24" i="105"/>
  <c r="H24" i="105"/>
  <c r="F24" i="105"/>
  <c r="D24" i="105"/>
  <c r="AG23" i="105"/>
  <c r="AA23" i="105"/>
  <c r="Y23" i="105"/>
  <c r="AB23" i="105" s="1"/>
  <c r="V23" i="105"/>
  <c r="J23" i="105"/>
  <c r="H23" i="105"/>
  <c r="F23" i="105"/>
  <c r="D23" i="105"/>
  <c r="AG22" i="105"/>
  <c r="AD22" i="105"/>
  <c r="AE22" i="105" s="1"/>
  <c r="AA22" i="105"/>
  <c r="Y22" i="105"/>
  <c r="V22" i="105"/>
  <c r="T22" i="105"/>
  <c r="Q22" i="105"/>
  <c r="R22" i="105" s="1"/>
  <c r="N22" i="105"/>
  <c r="L22" i="105"/>
  <c r="J22" i="105"/>
  <c r="H22" i="105"/>
  <c r="F22" i="105"/>
  <c r="D22" i="105"/>
  <c r="AG21" i="105"/>
  <c r="AD21" i="105"/>
  <c r="AE21" i="105" s="1"/>
  <c r="AA21" i="105"/>
  <c r="Y21" i="105"/>
  <c r="V21" i="105"/>
  <c r="T21" i="105"/>
  <c r="Q21" i="105"/>
  <c r="R21" i="105" s="1"/>
  <c r="N21" i="105"/>
  <c r="L21" i="105"/>
  <c r="J21" i="105"/>
  <c r="H21" i="105"/>
  <c r="F21" i="105"/>
  <c r="D21" i="105"/>
  <c r="AG20" i="105"/>
  <c r="AD20" i="105"/>
  <c r="AE20" i="105" s="1"/>
  <c r="AB20" i="105"/>
  <c r="AA20" i="105"/>
  <c r="Y20" i="105"/>
  <c r="V20" i="105"/>
  <c r="T20" i="105"/>
  <c r="Q20" i="105"/>
  <c r="R20" i="105" s="1"/>
  <c r="N20" i="105"/>
  <c r="L20" i="105"/>
  <c r="J20" i="105"/>
  <c r="H20" i="105"/>
  <c r="F20" i="105"/>
  <c r="D20" i="105"/>
  <c r="AG19" i="105"/>
  <c r="AD19" i="105"/>
  <c r="AE19" i="105" s="1"/>
  <c r="AA19" i="105"/>
  <c r="Y19" i="105"/>
  <c r="AB19" i="105" s="1"/>
  <c r="V19" i="105"/>
  <c r="T19" i="105"/>
  <c r="W19" i="105" s="1"/>
  <c r="Q19" i="105"/>
  <c r="R19" i="105" s="1"/>
  <c r="N19" i="105"/>
  <c r="L19" i="105"/>
  <c r="J19" i="105"/>
  <c r="H19" i="105"/>
  <c r="F19" i="105"/>
  <c r="D19" i="105"/>
  <c r="AG18" i="105"/>
  <c r="AD18" i="105"/>
  <c r="AE18" i="105" s="1"/>
  <c r="AA18" i="105"/>
  <c r="Y18" i="105"/>
  <c r="V18" i="105"/>
  <c r="W18" i="105" s="1"/>
  <c r="T18" i="105"/>
  <c r="Q18" i="105"/>
  <c r="R18" i="105" s="1"/>
  <c r="N18" i="105"/>
  <c r="L18" i="105"/>
  <c r="J18" i="105"/>
  <c r="H18" i="105"/>
  <c r="F18" i="105"/>
  <c r="D18" i="105"/>
  <c r="AG17" i="105"/>
  <c r="AD17" i="105"/>
  <c r="AE17" i="105" s="1"/>
  <c r="AA17" i="105"/>
  <c r="T17" i="105"/>
  <c r="Q17" i="105"/>
  <c r="R17" i="105" s="1"/>
  <c r="L17" i="105"/>
  <c r="J17" i="105"/>
  <c r="H17" i="105"/>
  <c r="F17" i="105"/>
  <c r="N17" i="105"/>
  <c r="O17" i="105" s="1"/>
  <c r="AG16" i="105"/>
  <c r="AD16" i="105"/>
  <c r="AE16" i="105" s="1"/>
  <c r="AA16" i="105"/>
  <c r="Y16" i="105"/>
  <c r="AB16" i="105" s="1"/>
  <c r="V16" i="105"/>
  <c r="T16" i="105"/>
  <c r="W16" i="105" s="1"/>
  <c r="Q16" i="105"/>
  <c r="R16" i="105" s="1"/>
  <c r="N16" i="105"/>
  <c r="L16" i="105"/>
  <c r="J16" i="105"/>
  <c r="H16" i="105"/>
  <c r="F16" i="105"/>
  <c r="D16" i="105"/>
  <c r="AG12" i="105"/>
  <c r="X11" i="105"/>
  <c r="U11" i="105"/>
  <c r="P11" i="105"/>
  <c r="N11" i="105"/>
  <c r="K11" i="105"/>
  <c r="I11" i="105"/>
  <c r="G11" i="105"/>
  <c r="E11" i="105"/>
  <c r="C11" i="105"/>
  <c r="AG11" i="105" s="1"/>
  <c r="AA10" i="105"/>
  <c r="X10" i="105"/>
  <c r="U10" i="105"/>
  <c r="V10" i="105" s="1"/>
  <c r="T10" i="105"/>
  <c r="W10" i="105" s="1"/>
  <c r="Q10" i="105"/>
  <c r="R10" i="105" s="1"/>
  <c r="P10" i="105"/>
  <c r="K10" i="105"/>
  <c r="I10" i="105"/>
  <c r="G10" i="105"/>
  <c r="E10" i="105"/>
  <c r="F10" i="105" s="1"/>
  <c r="D10" i="105"/>
  <c r="C10" i="105"/>
  <c r="H10" i="105"/>
  <c r="AD9" i="105"/>
  <c r="AE9" i="105" s="1"/>
  <c r="X9" i="105"/>
  <c r="V9" i="105"/>
  <c r="U9" i="105"/>
  <c r="P9" i="105"/>
  <c r="Q9" i="105" s="1"/>
  <c r="R9" i="105" s="1"/>
  <c r="N9" i="105"/>
  <c r="K9" i="105"/>
  <c r="I9" i="105"/>
  <c r="H9" i="105"/>
  <c r="G9" i="105"/>
  <c r="E9" i="105"/>
  <c r="C9" i="105"/>
  <c r="AG9" i="105" s="1"/>
  <c r="L9" i="105"/>
  <c r="AG8" i="105"/>
  <c r="Q8" i="105"/>
  <c r="R8" i="105" s="1"/>
  <c r="N8" i="105"/>
  <c r="H8" i="105"/>
  <c r="F8" i="105"/>
  <c r="AC7" i="105"/>
  <c r="AD7" i="105" s="1"/>
  <c r="AE7" i="105" s="1"/>
  <c r="X7" i="105"/>
  <c r="V7" i="105"/>
  <c r="T7" i="105"/>
  <c r="W7" i="105" s="1"/>
  <c r="S7" i="105"/>
  <c r="Q7" i="105"/>
  <c r="R7" i="105" s="1"/>
  <c r="P7" i="105"/>
  <c r="N7" i="105"/>
  <c r="L7" i="105"/>
  <c r="I7" i="105"/>
  <c r="G7" i="105"/>
  <c r="H7" i="105" s="1"/>
  <c r="F7" i="105"/>
  <c r="E7" i="105"/>
  <c r="C7" i="105"/>
  <c r="AG7" i="105" s="1"/>
  <c r="AA7" i="105"/>
  <c r="AB7" i="105" s="1"/>
  <c r="AC6" i="105"/>
  <c r="Z6" i="105"/>
  <c r="X6" i="105"/>
  <c r="U6" i="105"/>
  <c r="S6" i="105"/>
  <c r="P6" i="105"/>
  <c r="Q6" i="105" s="1"/>
  <c r="R6" i="105" s="1"/>
  <c r="M6" i="105"/>
  <c r="K6" i="105"/>
  <c r="I6" i="105"/>
  <c r="G6" i="105"/>
  <c r="E6" i="105"/>
  <c r="C6" i="105"/>
  <c r="AG6" i="105" s="1"/>
  <c r="AC5" i="105"/>
  <c r="Z5" i="105"/>
  <c r="X5" i="105"/>
  <c r="Y5" i="105" s="1"/>
  <c r="U5" i="105"/>
  <c r="S5" i="105"/>
  <c r="T5" i="105" s="1"/>
  <c r="P5" i="105"/>
  <c r="Q5" i="105" s="1"/>
  <c r="I5" i="105"/>
  <c r="H5" i="105"/>
  <c r="G5" i="105"/>
  <c r="E5" i="105"/>
  <c r="C5" i="105"/>
  <c r="AG5" i="105" s="1"/>
  <c r="N5" i="105"/>
  <c r="D278" i="33"/>
  <c r="D277" i="33"/>
  <c r="D276" i="33"/>
  <c r="H271" i="33"/>
  <c r="G271" i="33"/>
  <c r="E271" i="33"/>
  <c r="D271" i="33"/>
  <c r="I271" i="33" s="1"/>
  <c r="H270" i="33"/>
  <c r="G270" i="33"/>
  <c r="E270" i="33"/>
  <c r="D270" i="33"/>
  <c r="I270" i="33" s="1"/>
  <c r="H269" i="33"/>
  <c r="G269" i="33"/>
  <c r="I269" i="33" s="1"/>
  <c r="E269" i="33"/>
  <c r="D269" i="33"/>
  <c r="H268" i="33"/>
  <c r="H272" i="33" s="1"/>
  <c r="G268" i="33"/>
  <c r="G272" i="33" s="1"/>
  <c r="E268" i="33"/>
  <c r="E272" i="33" s="1"/>
  <c r="D268" i="33"/>
  <c r="I268" i="33" s="1"/>
  <c r="G263" i="33"/>
  <c r="D263" i="33"/>
  <c r="C263" i="33"/>
  <c r="B263" i="33"/>
  <c r="E262" i="33"/>
  <c r="D262" i="33"/>
  <c r="I262" i="33" s="1"/>
  <c r="H261" i="33"/>
  <c r="G261" i="33"/>
  <c r="E261" i="33"/>
  <c r="D261" i="33"/>
  <c r="I261" i="33" s="1"/>
  <c r="H260" i="33"/>
  <c r="G260" i="33"/>
  <c r="E260" i="33"/>
  <c r="I260" i="33" s="1"/>
  <c r="D260" i="33"/>
  <c r="G259" i="33"/>
  <c r="I259" i="33" s="1"/>
  <c r="H258" i="33"/>
  <c r="H263" i="33" s="1"/>
  <c r="G258" i="33"/>
  <c r="E258" i="33"/>
  <c r="E263" i="33" s="1"/>
  <c r="D258" i="33"/>
  <c r="I258" i="33" s="1"/>
  <c r="I150" i="101"/>
  <c r="L29" i="101"/>
  <c r="L32" i="101" s="1"/>
  <c r="M43" i="78"/>
  <c r="M34" i="78"/>
  <c r="M15" i="78"/>
  <c r="M33" i="78"/>
  <c r="M14" i="78"/>
  <c r="M27" i="78"/>
  <c r="M8" i="78"/>
  <c r="M28" i="78"/>
  <c r="M9" i="78"/>
  <c r="M26" i="78"/>
  <c r="M7" i="78"/>
  <c r="M24" i="78"/>
  <c r="M5" i="78"/>
  <c r="D168" i="101"/>
  <c r="E168" i="101"/>
  <c r="F168" i="101"/>
  <c r="I168" i="101"/>
  <c r="J168" i="101"/>
  <c r="K168" i="101"/>
  <c r="L168" i="101"/>
  <c r="O157" i="101"/>
  <c r="D141" i="101"/>
  <c r="E141" i="101"/>
  <c r="F141" i="101"/>
  <c r="G141" i="101"/>
  <c r="H141" i="101"/>
  <c r="I141" i="101"/>
  <c r="J141" i="101"/>
  <c r="K141" i="101"/>
  <c r="E128" i="101"/>
  <c r="H128" i="101"/>
  <c r="I128" i="101"/>
  <c r="L128" i="101"/>
  <c r="O91" i="101"/>
  <c r="O92" i="101"/>
  <c r="O94" i="101"/>
  <c r="O95" i="101"/>
  <c r="O96" i="101"/>
  <c r="O97" i="101"/>
  <c r="O103" i="101"/>
  <c r="O105" i="101"/>
  <c r="O106" i="101"/>
  <c r="O109" i="101"/>
  <c r="O110" i="101"/>
  <c r="O111" i="101"/>
  <c r="H84" i="101"/>
  <c r="O40" i="101"/>
  <c r="O41" i="101"/>
  <c r="O42" i="101"/>
  <c r="D32" i="101"/>
  <c r="E32" i="101"/>
  <c r="F32" i="101"/>
  <c r="H32" i="101"/>
  <c r="I32" i="101"/>
  <c r="J32" i="101"/>
  <c r="K32" i="101"/>
  <c r="M32" i="101"/>
  <c r="N32" i="101"/>
  <c r="D11" i="101"/>
  <c r="E11" i="101"/>
  <c r="I11" i="101"/>
  <c r="J11" i="101"/>
  <c r="K11" i="101"/>
  <c r="L11" i="101"/>
  <c r="M11" i="101"/>
  <c r="N11" i="101"/>
  <c r="O14" i="101"/>
  <c r="O15" i="101"/>
  <c r="O16" i="101"/>
  <c r="O18" i="101"/>
  <c r="O19" i="101"/>
  <c r="O20" i="101"/>
  <c r="O21" i="101"/>
  <c r="O22" i="101"/>
  <c r="O23" i="101"/>
  <c r="O24" i="101"/>
  <c r="O26" i="101"/>
  <c r="O28" i="101"/>
  <c r="O30" i="101"/>
  <c r="O31" i="101"/>
  <c r="N151" i="101" l="1"/>
  <c r="N163" i="101"/>
  <c r="N120" i="101"/>
  <c r="N146" i="101"/>
  <c r="N141" i="101"/>
  <c r="M146" i="101"/>
  <c r="M141" i="101"/>
  <c r="M134" i="101"/>
  <c r="AB45" i="106"/>
  <c r="AD8" i="106"/>
  <c r="AE8" i="106" s="1"/>
  <c r="J8" i="106"/>
  <c r="V17" i="106"/>
  <c r="T17" i="106"/>
  <c r="Y17" i="106"/>
  <c r="AB17" i="106" s="1"/>
  <c r="AA17" i="106"/>
  <c r="AD17" i="106"/>
  <c r="AE17" i="106" s="1"/>
  <c r="D17" i="106"/>
  <c r="F17" i="106"/>
  <c r="F51" i="106" s="1"/>
  <c r="H17" i="106"/>
  <c r="J17" i="106"/>
  <c r="L17" i="106"/>
  <c r="O17" i="106" s="1"/>
  <c r="W47" i="106"/>
  <c r="L5" i="106"/>
  <c r="AB47" i="106"/>
  <c r="AH43" i="106"/>
  <c r="O50" i="106"/>
  <c r="O44" i="106"/>
  <c r="O38" i="106"/>
  <c r="J27" i="106"/>
  <c r="J19" i="106"/>
  <c r="V19" i="106"/>
  <c r="V51" i="106" s="1"/>
  <c r="Y19" i="106"/>
  <c r="AB19" i="106" s="1"/>
  <c r="Q9" i="106"/>
  <c r="R9" i="106" s="1"/>
  <c r="N9" i="106"/>
  <c r="J9" i="106"/>
  <c r="D9" i="106"/>
  <c r="AD9" i="106"/>
  <c r="AE9" i="106" s="1"/>
  <c r="AA9" i="106"/>
  <c r="AB9" i="106" s="1"/>
  <c r="F19" i="106"/>
  <c r="Q19" i="106"/>
  <c r="R19" i="106" s="1"/>
  <c r="R51" i="106" s="1"/>
  <c r="F23" i="106"/>
  <c r="H56" i="106"/>
  <c r="H59" i="106"/>
  <c r="V11" i="106"/>
  <c r="W11" i="106" s="1"/>
  <c r="AA11" i="106"/>
  <c r="F11" i="106"/>
  <c r="J11" i="106"/>
  <c r="AB11" i="106"/>
  <c r="V10" i="106"/>
  <c r="W10" i="106"/>
  <c r="V9" i="106"/>
  <c r="AD7" i="106"/>
  <c r="AE7" i="106" s="1"/>
  <c r="T6" i="106"/>
  <c r="W6" i="106" s="1"/>
  <c r="D6" i="106"/>
  <c r="AB6" i="106"/>
  <c r="T5" i="106"/>
  <c r="W5" i="106" s="1"/>
  <c r="J5" i="106"/>
  <c r="AA5" i="106"/>
  <c r="AB5" i="106" s="1"/>
  <c r="D5" i="106"/>
  <c r="O21" i="106"/>
  <c r="AF21" i="106" s="1"/>
  <c r="AB28" i="106"/>
  <c r="O45" i="106"/>
  <c r="AH45" i="106" s="1"/>
  <c r="O24" i="106"/>
  <c r="O33" i="106"/>
  <c r="AB38" i="106"/>
  <c r="AA51" i="106"/>
  <c r="W16" i="106"/>
  <c r="AB43" i="106"/>
  <c r="AF43" i="106" s="1"/>
  <c r="AB29" i="106"/>
  <c r="O46" i="106"/>
  <c r="AF46" i="106" s="1"/>
  <c r="O18" i="106"/>
  <c r="O22" i="106"/>
  <c r="AH22" i="106" s="1"/>
  <c r="W24" i="106"/>
  <c r="O28" i="106"/>
  <c r="AH28" i="106" s="1"/>
  <c r="W33" i="106"/>
  <c r="AH33" i="106" s="1"/>
  <c r="O37" i="106"/>
  <c r="AF37" i="106" s="1"/>
  <c r="O40" i="106"/>
  <c r="AB44" i="106"/>
  <c r="AF44" i="106" s="1"/>
  <c r="W21" i="106"/>
  <c r="O26" i="106"/>
  <c r="O35" i="106"/>
  <c r="AH35" i="106" s="1"/>
  <c r="O41" i="106"/>
  <c r="AF41" i="106" s="1"/>
  <c r="O47" i="106"/>
  <c r="W25" i="106"/>
  <c r="AF25" i="106" s="1"/>
  <c r="O27" i="106"/>
  <c r="W34" i="106"/>
  <c r="AF34" i="106" s="1"/>
  <c r="O36" i="106"/>
  <c r="AF36" i="106" s="1"/>
  <c r="AB21" i="106"/>
  <c r="W40" i="106"/>
  <c r="AF40" i="106" s="1"/>
  <c r="W29" i="106"/>
  <c r="AF29" i="106" s="1"/>
  <c r="W38" i="106"/>
  <c r="O32" i="106"/>
  <c r="AF32" i="106" s="1"/>
  <c r="W18" i="106"/>
  <c r="AH18" i="106" s="1"/>
  <c r="AH20" i="106"/>
  <c r="AB25" i="106"/>
  <c r="W27" i="106"/>
  <c r="O31" i="106"/>
  <c r="AH31" i="106" s="1"/>
  <c r="W36" i="106"/>
  <c r="AH36" i="106" s="1"/>
  <c r="W41" i="106"/>
  <c r="W42" i="106"/>
  <c r="AB40" i="106"/>
  <c r="E297" i="33"/>
  <c r="G297" i="33"/>
  <c r="H297" i="33"/>
  <c r="I294" i="33"/>
  <c r="D297" i="33"/>
  <c r="I285" i="33"/>
  <c r="H288" i="33"/>
  <c r="I297" i="33"/>
  <c r="I288" i="33"/>
  <c r="G288" i="33"/>
  <c r="AF30" i="106"/>
  <c r="AH26" i="106"/>
  <c r="AH40" i="106"/>
  <c r="AH48" i="106"/>
  <c r="AH38" i="106"/>
  <c r="AF48" i="106"/>
  <c r="AF28" i="106"/>
  <c r="AF49" i="106"/>
  <c r="AH49" i="106"/>
  <c r="AB10" i="106"/>
  <c r="R5" i="106"/>
  <c r="AF20" i="106"/>
  <c r="AF26" i="106"/>
  <c r="AH30" i="106"/>
  <c r="AF35" i="106"/>
  <c r="AH44" i="106"/>
  <c r="AF50" i="106"/>
  <c r="AH50" i="106"/>
  <c r="AF31" i="106"/>
  <c r="Y12" i="106"/>
  <c r="N5" i="106"/>
  <c r="F6" i="106"/>
  <c r="J7" i="106"/>
  <c r="J12" i="106" s="1"/>
  <c r="AA7" i="106"/>
  <c r="AB7" i="106" s="1"/>
  <c r="L8" i="106"/>
  <c r="L9" i="106"/>
  <c r="T39" i="106"/>
  <c r="W39" i="106" s="1"/>
  <c r="D58" i="106"/>
  <c r="D63" i="106" s="1"/>
  <c r="B12" i="106"/>
  <c r="F58" i="106"/>
  <c r="F63" i="106" s="1"/>
  <c r="L7" i="106"/>
  <c r="N7" i="106"/>
  <c r="H55" i="106"/>
  <c r="Q8" i="106"/>
  <c r="R8" i="106" s="1"/>
  <c r="L10" i="106"/>
  <c r="AA10" i="106"/>
  <c r="H11" i="106"/>
  <c r="O16" i="106"/>
  <c r="AH16" i="106" s="1"/>
  <c r="AB18" i="106"/>
  <c r="T23" i="106"/>
  <c r="D39" i="106"/>
  <c r="Y39" i="106"/>
  <c r="AB39" i="106" s="1"/>
  <c r="B51" i="106"/>
  <c r="AE5" i="106"/>
  <c r="T8" i="106"/>
  <c r="AD10" i="106"/>
  <c r="AE10" i="106" s="1"/>
  <c r="H39" i="106"/>
  <c r="F5" i="106"/>
  <c r="L6" i="106"/>
  <c r="D7" i="106"/>
  <c r="V8" i="106"/>
  <c r="F9" i="106"/>
  <c r="T9" i="106"/>
  <c r="W9" i="106" s="1"/>
  <c r="D23" i="106"/>
  <c r="Y23" i="106"/>
  <c r="AB23" i="106" s="1"/>
  <c r="J39" i="106"/>
  <c r="AD39" i="106"/>
  <c r="AE39" i="106" s="1"/>
  <c r="H42" i="106"/>
  <c r="H5" i="106"/>
  <c r="N6" i="106"/>
  <c r="F7" i="106"/>
  <c r="D8" i="106"/>
  <c r="AA8" i="106"/>
  <c r="AB8" i="106" s="1"/>
  <c r="H9" i="106"/>
  <c r="N11" i="106"/>
  <c r="H23" i="106"/>
  <c r="N39" i="106"/>
  <c r="L42" i="106"/>
  <c r="L51" i="106" s="1"/>
  <c r="V7" i="106"/>
  <c r="F8" i="106"/>
  <c r="F10" i="106"/>
  <c r="O10" i="106" s="1"/>
  <c r="J23" i="106"/>
  <c r="AD23" i="106"/>
  <c r="AE23" i="106" s="1"/>
  <c r="H8" i="106"/>
  <c r="O45" i="105"/>
  <c r="W45" i="105"/>
  <c r="H62" i="105"/>
  <c r="F63" i="105"/>
  <c r="V42" i="105"/>
  <c r="Y42" i="105"/>
  <c r="AB42" i="105" s="1"/>
  <c r="H57" i="105"/>
  <c r="O26" i="105"/>
  <c r="W46" i="105"/>
  <c r="AB44" i="105"/>
  <c r="Q39" i="105"/>
  <c r="R39" i="105" s="1"/>
  <c r="O38" i="105"/>
  <c r="AF38" i="105" s="1"/>
  <c r="AB27" i="105"/>
  <c r="AF27" i="105" s="1"/>
  <c r="AB33" i="105"/>
  <c r="W22" i="105"/>
  <c r="N23" i="105"/>
  <c r="Q23" i="105"/>
  <c r="R23" i="105" s="1"/>
  <c r="AD23" i="105"/>
  <c r="AE23" i="105" s="1"/>
  <c r="W21" i="105"/>
  <c r="AB21" i="105"/>
  <c r="O21" i="105"/>
  <c r="H59" i="105"/>
  <c r="H61" i="105"/>
  <c r="Q11" i="105"/>
  <c r="R11" i="105" s="1"/>
  <c r="Y10" i="105"/>
  <c r="AB10" i="105" s="1"/>
  <c r="L10" i="105"/>
  <c r="AH48" i="105"/>
  <c r="AH24" i="105"/>
  <c r="O22" i="105"/>
  <c r="AH22" i="105" s="1"/>
  <c r="O28" i="105"/>
  <c r="AB29" i="105"/>
  <c r="O49" i="105"/>
  <c r="AH49" i="105" s="1"/>
  <c r="W31" i="105"/>
  <c r="AH31" i="105" s="1"/>
  <c r="O46" i="105"/>
  <c r="AH46" i="105" s="1"/>
  <c r="O50" i="105"/>
  <c r="O18" i="105"/>
  <c r="AH18" i="105" s="1"/>
  <c r="O24" i="105"/>
  <c r="AH27" i="105"/>
  <c r="O36" i="105"/>
  <c r="AF36" i="105" s="1"/>
  <c r="O43" i="105"/>
  <c r="O25" i="105"/>
  <c r="AB26" i="105"/>
  <c r="AF26" i="105" s="1"/>
  <c r="W35" i="105"/>
  <c r="O37" i="105"/>
  <c r="AF37" i="105" s="1"/>
  <c r="AB45" i="105"/>
  <c r="AF45" i="105" s="1"/>
  <c r="AF48" i="105"/>
  <c r="O19" i="105"/>
  <c r="AF19" i="105" s="1"/>
  <c r="O20" i="105"/>
  <c r="AF20" i="105" s="1"/>
  <c r="AB22" i="105"/>
  <c r="AH26" i="105"/>
  <c r="W28" i="105"/>
  <c r="W36" i="105"/>
  <c r="O47" i="105"/>
  <c r="AH21" i="105"/>
  <c r="O44" i="105"/>
  <c r="AF44" i="105" s="1"/>
  <c r="O34" i="105"/>
  <c r="AF35" i="105"/>
  <c r="AB36" i="105"/>
  <c r="AH45" i="105"/>
  <c r="AB46" i="105"/>
  <c r="AB18" i="105"/>
  <c r="W20" i="105"/>
  <c r="W25" i="105"/>
  <c r="AH35" i="105"/>
  <c r="W37" i="105"/>
  <c r="AH37" i="105" s="1"/>
  <c r="AB43" i="105"/>
  <c r="AF43" i="105" s="1"/>
  <c r="W47" i="105"/>
  <c r="AF47" i="105" s="1"/>
  <c r="AB49" i="105"/>
  <c r="O23" i="105"/>
  <c r="W33" i="105"/>
  <c r="AF33" i="105" s="1"/>
  <c r="O31" i="105"/>
  <c r="W30" i="105"/>
  <c r="W34" i="105"/>
  <c r="AH34" i="105" s="1"/>
  <c r="T11" i="105"/>
  <c r="V11" i="105"/>
  <c r="Y11" i="105"/>
  <c r="D11" i="105"/>
  <c r="AA8" i="105"/>
  <c r="AB8" i="105" s="1"/>
  <c r="L8" i="105"/>
  <c r="B12" i="105"/>
  <c r="T6" i="105"/>
  <c r="W6" i="105" s="1"/>
  <c r="V6" i="105"/>
  <c r="AA6" i="105"/>
  <c r="AD6" i="105"/>
  <c r="AE6" i="105" s="1"/>
  <c r="AD5" i="105"/>
  <c r="AF31" i="105"/>
  <c r="AF28" i="105"/>
  <c r="AF24" i="105"/>
  <c r="AF32" i="105"/>
  <c r="AH36" i="105"/>
  <c r="AB5" i="105"/>
  <c r="AH28" i="105"/>
  <c r="AH32" i="105"/>
  <c r="AH43" i="105"/>
  <c r="AF50" i="105"/>
  <c r="AH50" i="105"/>
  <c r="Q12" i="105"/>
  <c r="R5" i="105"/>
  <c r="AF25" i="105"/>
  <c r="AE5" i="105"/>
  <c r="AF29" i="105"/>
  <c r="AF49" i="105"/>
  <c r="AH25" i="105"/>
  <c r="AH29" i="105"/>
  <c r="AF34" i="105"/>
  <c r="AF21" i="105"/>
  <c r="AF30" i="105"/>
  <c r="AH30" i="105"/>
  <c r="H6" i="105"/>
  <c r="H12" i="105" s="1"/>
  <c r="V39" i="105"/>
  <c r="W39" i="105" s="1"/>
  <c r="F40" i="105"/>
  <c r="AA40" i="105"/>
  <c r="AB40" i="105" s="1"/>
  <c r="L41" i="105"/>
  <c r="O41" i="105" s="1"/>
  <c r="AH41" i="105" s="1"/>
  <c r="Q42" i="105"/>
  <c r="R42" i="105" s="1"/>
  <c r="H11" i="105"/>
  <c r="O16" i="105"/>
  <c r="AF16" i="105" s="1"/>
  <c r="D58" i="105"/>
  <c r="H58" i="105" s="1"/>
  <c r="D5" i="105"/>
  <c r="J6" i="105"/>
  <c r="D9" i="105"/>
  <c r="N10" i="105"/>
  <c r="O10" i="105" s="1"/>
  <c r="AF10" i="105" s="1"/>
  <c r="V17" i="105"/>
  <c r="V51" i="105" s="1"/>
  <c r="T23" i="105"/>
  <c r="W23" i="105" s="1"/>
  <c r="D39" i="105"/>
  <c r="Y39" i="105"/>
  <c r="AB39" i="105" s="1"/>
  <c r="J40" i="105"/>
  <c r="AD40" i="105"/>
  <c r="AE40" i="105" s="1"/>
  <c r="T42" i="105"/>
  <c r="W42" i="105" s="1"/>
  <c r="T8" i="105"/>
  <c r="AD10" i="105"/>
  <c r="AE10" i="105" s="1"/>
  <c r="J11" i="105"/>
  <c r="F39" i="105"/>
  <c r="AA39" i="105"/>
  <c r="L40" i="105"/>
  <c r="Q41" i="105"/>
  <c r="R41" i="105" s="1"/>
  <c r="H55" i="105"/>
  <c r="F5" i="105"/>
  <c r="L6" i="105"/>
  <c r="D7" i="105"/>
  <c r="V8" i="105"/>
  <c r="F9" i="105"/>
  <c r="T9" i="105"/>
  <c r="W9" i="105" s="1"/>
  <c r="D17" i="105"/>
  <c r="Y17" i="105"/>
  <c r="AB17" i="105" s="1"/>
  <c r="H39" i="105"/>
  <c r="H51" i="105" s="1"/>
  <c r="N40" i="105"/>
  <c r="B51" i="105"/>
  <c r="Y6" i="105"/>
  <c r="AB6" i="105" s="1"/>
  <c r="L11" i="105"/>
  <c r="AA11" i="105"/>
  <c r="J39" i="105"/>
  <c r="AD39" i="105"/>
  <c r="AE39" i="105" s="1"/>
  <c r="AE51" i="105" s="1"/>
  <c r="T41" i="105"/>
  <c r="W41" i="105" s="1"/>
  <c r="V5" i="105"/>
  <c r="V12" i="105" s="1"/>
  <c r="N6" i="105"/>
  <c r="AG10" i="105"/>
  <c r="L39" i="105"/>
  <c r="AD11" i="105"/>
  <c r="AE11" i="105" s="1"/>
  <c r="N39" i="105"/>
  <c r="J5" i="105"/>
  <c r="D6" i="105"/>
  <c r="AD8" i="105"/>
  <c r="AE8" i="105" s="1"/>
  <c r="J9" i="105"/>
  <c r="T40" i="105"/>
  <c r="W40" i="105" s="1"/>
  <c r="D41" i="105"/>
  <c r="Y41" i="105"/>
  <c r="AB41" i="105" s="1"/>
  <c r="J42" i="105"/>
  <c r="O42" i="105" s="1"/>
  <c r="L5" i="105"/>
  <c r="J8" i="105"/>
  <c r="O8" i="105" s="1"/>
  <c r="AA9" i="105"/>
  <c r="AB9" i="105" s="1"/>
  <c r="F41" i="105"/>
  <c r="J7" i="105"/>
  <c r="O7" i="105" s="1"/>
  <c r="I263" i="33"/>
  <c r="I273" i="33" s="1"/>
  <c r="I278" i="33" s="1"/>
  <c r="I272" i="33"/>
  <c r="D272" i="33"/>
  <c r="N169" i="101" l="1"/>
  <c r="AF45" i="106"/>
  <c r="W19" i="106"/>
  <c r="AF19" i="106" s="1"/>
  <c r="O19" i="106"/>
  <c r="W17" i="106"/>
  <c r="AH17" i="106" s="1"/>
  <c r="AH47" i="106"/>
  <c r="O8" i="106"/>
  <c r="AH24" i="106"/>
  <c r="AF47" i="106"/>
  <c r="AH41" i="106"/>
  <c r="AF38" i="106"/>
  <c r="AH27" i="106"/>
  <c r="AF27" i="106"/>
  <c r="Q51" i="106"/>
  <c r="V12" i="106"/>
  <c r="B72" i="106" s="1"/>
  <c r="AH21" i="106"/>
  <c r="AF10" i="106"/>
  <c r="AE12" i="106"/>
  <c r="O9" i="106"/>
  <c r="AF9" i="106" s="1"/>
  <c r="D12" i="106"/>
  <c r="W8" i="106"/>
  <c r="O7" i="106"/>
  <c r="L12" i="106"/>
  <c r="O6" i="106"/>
  <c r="AF6" i="106" s="1"/>
  <c r="AF22" i="106"/>
  <c r="O42" i="106"/>
  <c r="AH42" i="106" s="1"/>
  <c r="AF24" i="106"/>
  <c r="H51" i="106"/>
  <c r="D51" i="106"/>
  <c r="AH25" i="106"/>
  <c r="AH32" i="106"/>
  <c r="AH29" i="106"/>
  <c r="AF33" i="106"/>
  <c r="AB51" i="106"/>
  <c r="AH37" i="106"/>
  <c r="AH34" i="106"/>
  <c r="AH46" i="106"/>
  <c r="O39" i="106"/>
  <c r="AH39" i="106" s="1"/>
  <c r="AE51" i="106"/>
  <c r="O23" i="106"/>
  <c r="O51" i="106" s="1"/>
  <c r="I298" i="33"/>
  <c r="I303" i="33" s="1"/>
  <c r="H63" i="106"/>
  <c r="AF42" i="106"/>
  <c r="AA12" i="106"/>
  <c r="N12" i="106"/>
  <c r="O5" i="106"/>
  <c r="J51" i="106"/>
  <c r="AD51" i="106"/>
  <c r="AF18" i="106"/>
  <c r="AB12" i="106"/>
  <c r="Q12" i="106"/>
  <c r="W23" i="106"/>
  <c r="T51" i="106"/>
  <c r="O11" i="106"/>
  <c r="AF11" i="106" s="1"/>
  <c r="H58" i="106"/>
  <c r="W7" i="106"/>
  <c r="W12" i="106" s="1"/>
  <c r="AF23" i="106"/>
  <c r="AF16" i="106"/>
  <c r="B65" i="106"/>
  <c r="T12" i="106"/>
  <c r="AD12" i="106"/>
  <c r="H12" i="106"/>
  <c r="F12" i="106"/>
  <c r="Y51" i="106"/>
  <c r="N51" i="106"/>
  <c r="AH42" i="105"/>
  <c r="AH44" i="105"/>
  <c r="O39" i="105"/>
  <c r="AH38" i="105"/>
  <c r="AH33" i="105"/>
  <c r="AH19" i="105"/>
  <c r="AF22" i="105"/>
  <c r="D63" i="105"/>
  <c r="H63" i="105" s="1"/>
  <c r="AB51" i="105"/>
  <c r="J51" i="105"/>
  <c r="T51" i="105"/>
  <c r="AF42" i="105"/>
  <c r="AF18" i="105"/>
  <c r="AF46" i="105"/>
  <c r="F51" i="105"/>
  <c r="AH47" i="105"/>
  <c r="AA51" i="105"/>
  <c r="AH20" i="105"/>
  <c r="AH23" i="105"/>
  <c r="L51" i="105"/>
  <c r="D51" i="105"/>
  <c r="AB11" i="105"/>
  <c r="O11" i="105"/>
  <c r="B65" i="105"/>
  <c r="W11" i="105"/>
  <c r="N12" i="105"/>
  <c r="F12" i="105"/>
  <c r="O9" i="105"/>
  <c r="AF9" i="105" s="1"/>
  <c r="W8" i="105"/>
  <c r="AF8" i="105" s="1"/>
  <c r="J12" i="105"/>
  <c r="AF11" i="105"/>
  <c r="AF39" i="105"/>
  <c r="N51" i="105"/>
  <c r="W5" i="105"/>
  <c r="AE12" i="105"/>
  <c r="W17" i="105"/>
  <c r="O40" i="105"/>
  <c r="AF40" i="105" s="1"/>
  <c r="Q51" i="105"/>
  <c r="B70" i="105" s="1"/>
  <c r="L12" i="105"/>
  <c r="AH16" i="105"/>
  <c r="AD12" i="105"/>
  <c r="R51" i="105"/>
  <c r="T12" i="105"/>
  <c r="O6" i="105"/>
  <c r="AF6" i="105" s="1"/>
  <c r="O5" i="105"/>
  <c r="AA12" i="105"/>
  <c r="AF23" i="105"/>
  <c r="B72" i="105"/>
  <c r="AB12" i="105"/>
  <c r="AF17" i="105"/>
  <c r="AF41" i="105"/>
  <c r="Y51" i="105"/>
  <c r="D12" i="105"/>
  <c r="AH39" i="105"/>
  <c r="R12" i="105"/>
  <c r="Y12" i="105"/>
  <c r="AF7" i="105"/>
  <c r="AD51" i="105"/>
  <c r="B17" i="104"/>
  <c r="L89" i="101"/>
  <c r="L120" i="101" s="1"/>
  <c r="AF8" i="106" l="1"/>
  <c r="W51" i="106"/>
  <c r="AH19" i="106"/>
  <c r="AF17" i="106"/>
  <c r="AF39" i="106"/>
  <c r="B68" i="106"/>
  <c r="B71" i="106"/>
  <c r="B73" i="106"/>
  <c r="AH23" i="106"/>
  <c r="AH51" i="106" s="1"/>
  <c r="R12" i="106"/>
  <c r="B70" i="106"/>
  <c r="AF7" i="106"/>
  <c r="O12" i="106"/>
  <c r="AF5" i="106"/>
  <c r="O51" i="105"/>
  <c r="B71" i="105"/>
  <c r="AF5" i="105"/>
  <c r="AH40" i="105"/>
  <c r="B73" i="105"/>
  <c r="W12" i="105"/>
  <c r="W51" i="105"/>
  <c r="AH17" i="105"/>
  <c r="O12" i="105"/>
  <c r="B68" i="105"/>
  <c r="M128" i="101"/>
  <c r="C128" i="101"/>
  <c r="C141" i="101"/>
  <c r="L139" i="101"/>
  <c r="L144" i="101"/>
  <c r="AE6" i="104"/>
  <c r="AE7" i="104"/>
  <c r="AE8" i="104"/>
  <c r="AE9" i="104"/>
  <c r="AE10" i="104"/>
  <c r="AE11" i="104"/>
  <c r="AB6" i="104"/>
  <c r="AB7" i="104"/>
  <c r="AB8" i="104"/>
  <c r="AB9" i="104"/>
  <c r="AB10" i="104"/>
  <c r="AB11" i="104"/>
  <c r="W6" i="104"/>
  <c r="W7" i="104"/>
  <c r="W8" i="104"/>
  <c r="W9" i="104"/>
  <c r="W10" i="104"/>
  <c r="W11" i="104"/>
  <c r="W5" i="104"/>
  <c r="R6" i="104"/>
  <c r="R7" i="104"/>
  <c r="R8" i="104"/>
  <c r="R9" i="104"/>
  <c r="R10" i="104"/>
  <c r="R11" i="104"/>
  <c r="O6" i="104"/>
  <c r="O7" i="104"/>
  <c r="O8" i="104"/>
  <c r="O9" i="104"/>
  <c r="O10" i="104"/>
  <c r="O11" i="104"/>
  <c r="O5" i="104"/>
  <c r="L132" i="101"/>
  <c r="L131" i="101"/>
  <c r="L161" i="101"/>
  <c r="L156" i="101"/>
  <c r="L149" i="101"/>
  <c r="K146" i="101"/>
  <c r="I146" i="101"/>
  <c r="F146" i="101"/>
  <c r="B69" i="106" l="1"/>
  <c r="B75" i="106" s="1"/>
  <c r="B76" i="106" s="1"/>
  <c r="AF12" i="106"/>
  <c r="AH51" i="105"/>
  <c r="B69" i="105"/>
  <c r="B75" i="105"/>
  <c r="B76" i="105" s="1"/>
  <c r="AF12" i="105"/>
  <c r="O139" i="101"/>
  <c r="O144" i="101"/>
  <c r="L48" i="101" l="1"/>
  <c r="L84" i="101" s="1"/>
  <c r="B74" i="104"/>
  <c r="B58" i="104"/>
  <c r="B42" i="104"/>
  <c r="B40" i="104"/>
  <c r="B41" i="104"/>
  <c r="B39" i="104"/>
  <c r="O18" i="104"/>
  <c r="O19" i="104"/>
  <c r="O20" i="104"/>
  <c r="O21" i="104"/>
  <c r="O22" i="104"/>
  <c r="O23" i="104"/>
  <c r="O24" i="104"/>
  <c r="AF24" i="104" s="1"/>
  <c r="O25" i="104"/>
  <c r="O26" i="104"/>
  <c r="O28" i="104"/>
  <c r="AF28" i="104" s="1"/>
  <c r="O29" i="104"/>
  <c r="O30" i="104"/>
  <c r="O31" i="104"/>
  <c r="O32" i="104"/>
  <c r="O33" i="104"/>
  <c r="O34" i="104"/>
  <c r="O35" i="104"/>
  <c r="O37" i="104"/>
  <c r="O47" i="104"/>
  <c r="O48" i="104"/>
  <c r="AF48" i="104" s="1"/>
  <c r="O50" i="104"/>
  <c r="O16" i="104"/>
  <c r="AF16" i="104" s="1"/>
  <c r="AF18" i="104"/>
  <c r="AF20" i="104"/>
  <c r="AF21" i="104"/>
  <c r="AF22" i="104"/>
  <c r="AF23" i="104"/>
  <c r="AF25" i="104"/>
  <c r="AF26" i="104"/>
  <c r="AF29" i="104"/>
  <c r="AF30" i="104"/>
  <c r="AF31" i="104"/>
  <c r="AF32" i="104"/>
  <c r="AF33" i="104"/>
  <c r="AF34" i="104"/>
  <c r="AF35" i="104"/>
  <c r="AF37" i="104"/>
  <c r="AF47" i="104"/>
  <c r="AF50" i="104"/>
  <c r="AG17" i="104"/>
  <c r="AG18" i="104"/>
  <c r="AG19" i="104"/>
  <c r="AG20" i="104"/>
  <c r="AG21" i="104"/>
  <c r="AG22" i="104"/>
  <c r="AG23" i="104"/>
  <c r="AG24" i="104"/>
  <c r="AG25" i="104"/>
  <c r="AG26" i="104"/>
  <c r="AG27" i="104"/>
  <c r="AG28" i="104"/>
  <c r="AG29" i="104"/>
  <c r="AG30" i="104"/>
  <c r="AG31" i="104"/>
  <c r="AG32" i="104"/>
  <c r="AG33" i="104"/>
  <c r="AG34" i="104"/>
  <c r="AG35" i="104"/>
  <c r="AG36" i="104"/>
  <c r="AG37" i="104"/>
  <c r="AG38" i="104"/>
  <c r="AG39" i="104"/>
  <c r="AG40" i="104"/>
  <c r="AG41" i="104"/>
  <c r="AG42" i="104"/>
  <c r="AG43" i="104"/>
  <c r="AG44" i="104"/>
  <c r="AG45" i="104"/>
  <c r="AG46" i="104"/>
  <c r="AG47" i="104"/>
  <c r="AG48" i="104"/>
  <c r="AG49" i="104"/>
  <c r="AG50" i="104"/>
  <c r="AG16" i="104"/>
  <c r="L17" i="104"/>
  <c r="L18" i="104"/>
  <c r="L19" i="104"/>
  <c r="L20" i="104"/>
  <c r="L21" i="104"/>
  <c r="L22" i="104"/>
  <c r="L23" i="104"/>
  <c r="L24" i="104"/>
  <c r="L25" i="104"/>
  <c r="L26" i="104"/>
  <c r="L27" i="104"/>
  <c r="L28" i="104"/>
  <c r="L29" i="104"/>
  <c r="L30" i="104"/>
  <c r="L31" i="104"/>
  <c r="L32" i="104"/>
  <c r="L33" i="104"/>
  <c r="L34" i="104"/>
  <c r="L35" i="104"/>
  <c r="L36" i="104"/>
  <c r="L37" i="104"/>
  <c r="L38" i="104"/>
  <c r="L39" i="104"/>
  <c r="L40" i="104"/>
  <c r="L41" i="104"/>
  <c r="L42" i="104"/>
  <c r="L43" i="104"/>
  <c r="L44" i="104"/>
  <c r="L45" i="104"/>
  <c r="L46" i="104"/>
  <c r="L47" i="104"/>
  <c r="L48" i="104"/>
  <c r="L49" i="104"/>
  <c r="L50" i="104"/>
  <c r="N50" i="104"/>
  <c r="N17" i="104"/>
  <c r="O17" i="104" s="1"/>
  <c r="O51" i="104" s="1"/>
  <c r="N18" i="104"/>
  <c r="N19" i="104"/>
  <c r="N20" i="104"/>
  <c r="N21" i="104"/>
  <c r="N22" i="104"/>
  <c r="N23" i="104"/>
  <c r="N24" i="104"/>
  <c r="N25" i="104"/>
  <c r="N26" i="104"/>
  <c r="N27" i="104"/>
  <c r="N28" i="104"/>
  <c r="N29" i="104"/>
  <c r="N30" i="104"/>
  <c r="N31" i="104"/>
  <c r="N32" i="104"/>
  <c r="N33" i="104"/>
  <c r="N34" i="104"/>
  <c r="N35" i="104"/>
  <c r="N36" i="104"/>
  <c r="O36" i="104" s="1"/>
  <c r="N37" i="104"/>
  <c r="N38" i="104"/>
  <c r="O38" i="104" s="1"/>
  <c r="N39" i="104"/>
  <c r="N40" i="104"/>
  <c r="O40" i="104" s="1"/>
  <c r="N41" i="104"/>
  <c r="N42" i="104"/>
  <c r="N43" i="104"/>
  <c r="O43" i="104" s="1"/>
  <c r="N44" i="104"/>
  <c r="O44" i="104" s="1"/>
  <c r="N45" i="104"/>
  <c r="O45" i="104" s="1"/>
  <c r="N46" i="104"/>
  <c r="O46" i="104" s="1"/>
  <c r="N47" i="104"/>
  <c r="N48" i="104"/>
  <c r="N49" i="104"/>
  <c r="O49" i="104" s="1"/>
  <c r="N16" i="104"/>
  <c r="L16" i="104"/>
  <c r="AG6" i="104"/>
  <c r="AG7" i="104"/>
  <c r="AG8" i="104"/>
  <c r="AG9" i="104"/>
  <c r="AG10" i="104"/>
  <c r="AG11" i="104"/>
  <c r="AG5" i="104"/>
  <c r="N12" i="104"/>
  <c r="L12" i="104"/>
  <c r="N6" i="104"/>
  <c r="N7" i="104"/>
  <c r="N8" i="104"/>
  <c r="N9" i="104"/>
  <c r="N10" i="104"/>
  <c r="N11" i="104"/>
  <c r="N5" i="104"/>
  <c r="M6" i="104"/>
  <c r="L8" i="104"/>
  <c r="L9" i="104"/>
  <c r="L10" i="104"/>
  <c r="L11" i="104"/>
  <c r="L5" i="104"/>
  <c r="L6" i="104"/>
  <c r="L7" i="104"/>
  <c r="K11" i="104"/>
  <c r="K10" i="104"/>
  <c r="K9" i="104"/>
  <c r="K6" i="104"/>
  <c r="B23" i="104"/>
  <c r="F23" i="104" s="1"/>
  <c r="B11" i="104"/>
  <c r="T11" i="104" s="1"/>
  <c r="B10" i="104"/>
  <c r="B9" i="104"/>
  <c r="B8" i="104"/>
  <c r="B7" i="104"/>
  <c r="B6" i="104"/>
  <c r="B5" i="104"/>
  <c r="G63" i="104"/>
  <c r="B63" i="104"/>
  <c r="G62" i="104"/>
  <c r="F62" i="104"/>
  <c r="H62" i="104" s="1"/>
  <c r="D62" i="104"/>
  <c r="G61" i="104"/>
  <c r="F61" i="104"/>
  <c r="D61" i="104"/>
  <c r="G60" i="104"/>
  <c r="F60" i="104"/>
  <c r="D60" i="104"/>
  <c r="G59" i="104"/>
  <c r="F59" i="104"/>
  <c r="D59" i="104"/>
  <c r="G58" i="104"/>
  <c r="F58" i="104"/>
  <c r="H58" i="104" s="1"/>
  <c r="D58" i="104"/>
  <c r="G57" i="104"/>
  <c r="F57" i="104"/>
  <c r="D57" i="104"/>
  <c r="G56" i="104"/>
  <c r="F56" i="104"/>
  <c r="D56" i="104"/>
  <c r="G55" i="104"/>
  <c r="F55" i="104"/>
  <c r="D55" i="104"/>
  <c r="AG51" i="104"/>
  <c r="AD50" i="104"/>
  <c r="AE50" i="104" s="1"/>
  <c r="AA50" i="104"/>
  <c r="Y50" i="104"/>
  <c r="V50" i="104"/>
  <c r="T50" i="104"/>
  <c r="Q50" i="104"/>
  <c r="R50" i="104" s="1"/>
  <c r="J50" i="104"/>
  <c r="H50" i="104"/>
  <c r="F50" i="104"/>
  <c r="D50" i="104"/>
  <c r="AD49" i="104"/>
  <c r="AE49" i="104" s="1"/>
  <c r="AA49" i="104"/>
  <c r="Y49" i="104"/>
  <c r="V49" i="104"/>
  <c r="T49" i="104"/>
  <c r="Q49" i="104"/>
  <c r="R49" i="104" s="1"/>
  <c r="J49" i="104"/>
  <c r="H49" i="104"/>
  <c r="F49" i="104"/>
  <c r="D49" i="104"/>
  <c r="AD48" i="104"/>
  <c r="AE48" i="104" s="1"/>
  <c r="AA48" i="104"/>
  <c r="AB48" i="104" s="1"/>
  <c r="V48" i="104"/>
  <c r="T48" i="104"/>
  <c r="Q48" i="104"/>
  <c r="R48" i="104" s="1"/>
  <c r="J48" i="104"/>
  <c r="H48" i="104"/>
  <c r="F48" i="104"/>
  <c r="D48" i="104"/>
  <c r="AD47" i="104"/>
  <c r="AE47" i="104" s="1"/>
  <c r="AA47" i="104"/>
  <c r="Y47" i="104"/>
  <c r="V47" i="104"/>
  <c r="T47" i="104"/>
  <c r="Q47" i="104"/>
  <c r="R47" i="104" s="1"/>
  <c r="J47" i="104"/>
  <c r="H47" i="104"/>
  <c r="F47" i="104"/>
  <c r="D47" i="104"/>
  <c r="AD46" i="104"/>
  <c r="AE46" i="104" s="1"/>
  <c r="AA46" i="104"/>
  <c r="Y46" i="104"/>
  <c r="V46" i="104"/>
  <c r="T46" i="104"/>
  <c r="Q46" i="104"/>
  <c r="R46" i="104" s="1"/>
  <c r="J46" i="104"/>
  <c r="H46" i="104"/>
  <c r="F46" i="104"/>
  <c r="D46" i="104"/>
  <c r="AD45" i="104"/>
  <c r="AE45" i="104" s="1"/>
  <c r="AA45" i="104"/>
  <c r="Y45" i="104"/>
  <c r="V45" i="104"/>
  <c r="T45" i="104"/>
  <c r="Q45" i="104"/>
  <c r="R45" i="104" s="1"/>
  <c r="J45" i="104"/>
  <c r="H45" i="104"/>
  <c r="F45" i="104"/>
  <c r="D45" i="104"/>
  <c r="AD44" i="104"/>
  <c r="AE44" i="104" s="1"/>
  <c r="AA44" i="104"/>
  <c r="Y44" i="104"/>
  <c r="V44" i="104"/>
  <c r="T44" i="104"/>
  <c r="Q44" i="104"/>
  <c r="R44" i="104" s="1"/>
  <c r="J44" i="104"/>
  <c r="H44" i="104"/>
  <c r="F44" i="104"/>
  <c r="D44" i="104"/>
  <c r="AD43" i="104"/>
  <c r="AE43" i="104" s="1"/>
  <c r="AA43" i="104"/>
  <c r="Y43" i="104"/>
  <c r="V43" i="104"/>
  <c r="T43" i="104"/>
  <c r="Q43" i="104"/>
  <c r="R43" i="104" s="1"/>
  <c r="J43" i="104"/>
  <c r="H43" i="104"/>
  <c r="F43" i="104"/>
  <c r="D43" i="104"/>
  <c r="Q42" i="104"/>
  <c r="R42" i="104" s="1"/>
  <c r="Y42" i="104"/>
  <c r="D41" i="104"/>
  <c r="Q41" i="104"/>
  <c r="R41" i="104" s="1"/>
  <c r="AD40" i="104"/>
  <c r="AE40" i="104" s="1"/>
  <c r="AA40" i="104"/>
  <c r="Y40" i="104"/>
  <c r="V40" i="104"/>
  <c r="T40" i="104"/>
  <c r="Q40" i="104"/>
  <c r="R40" i="104" s="1"/>
  <c r="J40" i="104"/>
  <c r="H40" i="104"/>
  <c r="F40" i="104"/>
  <c r="D40" i="104"/>
  <c r="AD39" i="104"/>
  <c r="AE39" i="104" s="1"/>
  <c r="AA39" i="104"/>
  <c r="Y39" i="104"/>
  <c r="V39" i="104"/>
  <c r="T39" i="104"/>
  <c r="Q39" i="104"/>
  <c r="R39" i="104" s="1"/>
  <c r="J39" i="104"/>
  <c r="H39" i="104"/>
  <c r="F39" i="104"/>
  <c r="D39" i="104"/>
  <c r="AD38" i="104"/>
  <c r="AE38" i="104" s="1"/>
  <c r="AA38" i="104"/>
  <c r="Y38" i="104"/>
  <c r="V38" i="104"/>
  <c r="T38" i="104"/>
  <c r="Q38" i="104"/>
  <c r="R38" i="104" s="1"/>
  <c r="J38" i="104"/>
  <c r="H38" i="104"/>
  <c r="F38" i="104"/>
  <c r="D38" i="104"/>
  <c r="AD37" i="104"/>
  <c r="AE37" i="104" s="1"/>
  <c r="AA37" i="104"/>
  <c r="Y37" i="104"/>
  <c r="V37" i="104"/>
  <c r="T37" i="104"/>
  <c r="Q37" i="104"/>
  <c r="R37" i="104" s="1"/>
  <c r="J37" i="104"/>
  <c r="H37" i="104"/>
  <c r="F37" i="104"/>
  <c r="D37" i="104"/>
  <c r="AD36" i="104"/>
  <c r="AE36" i="104" s="1"/>
  <c r="AA36" i="104"/>
  <c r="Y36" i="104"/>
  <c r="V36" i="104"/>
  <c r="T36" i="104"/>
  <c r="Q36" i="104"/>
  <c r="R36" i="104" s="1"/>
  <c r="J36" i="104"/>
  <c r="H36" i="104"/>
  <c r="F36" i="104"/>
  <c r="D36" i="104"/>
  <c r="AD35" i="104"/>
  <c r="AE35" i="104" s="1"/>
  <c r="AA35" i="104"/>
  <c r="Y35" i="104"/>
  <c r="V35" i="104"/>
  <c r="T35" i="104"/>
  <c r="Q35" i="104"/>
  <c r="R35" i="104" s="1"/>
  <c r="J35" i="104"/>
  <c r="H35" i="104"/>
  <c r="F35" i="104"/>
  <c r="D35" i="104"/>
  <c r="AD34" i="104"/>
  <c r="AE34" i="104" s="1"/>
  <c r="AA34" i="104"/>
  <c r="Y34" i="104"/>
  <c r="V34" i="104"/>
  <c r="T34" i="104"/>
  <c r="Q34" i="104"/>
  <c r="R34" i="104" s="1"/>
  <c r="J34" i="104"/>
  <c r="H34" i="104"/>
  <c r="F34" i="104"/>
  <c r="D34" i="104"/>
  <c r="AD33" i="104"/>
  <c r="AE33" i="104" s="1"/>
  <c r="AA33" i="104"/>
  <c r="Y33" i="104"/>
  <c r="V33" i="104"/>
  <c r="T33" i="104"/>
  <c r="Q33" i="104"/>
  <c r="R33" i="104" s="1"/>
  <c r="J33" i="104"/>
  <c r="H33" i="104"/>
  <c r="F33" i="104"/>
  <c r="D33" i="104"/>
  <c r="AD32" i="104"/>
  <c r="AE32" i="104" s="1"/>
  <c r="AA32" i="104"/>
  <c r="Y32" i="104"/>
  <c r="V32" i="104"/>
  <c r="T32" i="104"/>
  <c r="Q32" i="104"/>
  <c r="R32" i="104" s="1"/>
  <c r="J32" i="104"/>
  <c r="H32" i="104"/>
  <c r="F32" i="104"/>
  <c r="D32" i="104"/>
  <c r="AD31" i="104"/>
  <c r="AE31" i="104" s="1"/>
  <c r="AA31" i="104"/>
  <c r="Y31" i="104"/>
  <c r="V31" i="104"/>
  <c r="T31" i="104"/>
  <c r="Q31" i="104"/>
  <c r="R31" i="104" s="1"/>
  <c r="J31" i="104"/>
  <c r="H31" i="104"/>
  <c r="F31" i="104"/>
  <c r="D31" i="104"/>
  <c r="AD30" i="104"/>
  <c r="AE30" i="104" s="1"/>
  <c r="AA30" i="104"/>
  <c r="Y30" i="104"/>
  <c r="V30" i="104"/>
  <c r="T30" i="104"/>
  <c r="Q30" i="104"/>
  <c r="R30" i="104" s="1"/>
  <c r="J30" i="104"/>
  <c r="H30" i="104"/>
  <c r="F30" i="104"/>
  <c r="D30" i="104"/>
  <c r="AD29" i="104"/>
  <c r="AE29" i="104" s="1"/>
  <c r="AA29" i="104"/>
  <c r="Y29" i="104"/>
  <c r="V29" i="104"/>
  <c r="T29" i="104"/>
  <c r="Q29" i="104"/>
  <c r="R29" i="104" s="1"/>
  <c r="J29" i="104"/>
  <c r="H29" i="104"/>
  <c r="F29" i="104"/>
  <c r="D29" i="104"/>
  <c r="AD28" i="104"/>
  <c r="AE28" i="104" s="1"/>
  <c r="AA28" i="104"/>
  <c r="Y28" i="104"/>
  <c r="V28" i="104"/>
  <c r="T28" i="104"/>
  <c r="Q28" i="104"/>
  <c r="R28" i="104" s="1"/>
  <c r="J28" i="104"/>
  <c r="H28" i="104"/>
  <c r="F28" i="104"/>
  <c r="D28" i="104"/>
  <c r="AD27" i="104"/>
  <c r="AE27" i="104" s="1"/>
  <c r="T27" i="104"/>
  <c r="F27" i="104"/>
  <c r="Q27" i="104"/>
  <c r="R27" i="104" s="1"/>
  <c r="AD26" i="104"/>
  <c r="AE26" i="104" s="1"/>
  <c r="AA26" i="104"/>
  <c r="Y26" i="104"/>
  <c r="V26" i="104"/>
  <c r="T26" i="104"/>
  <c r="Q26" i="104"/>
  <c r="R26" i="104" s="1"/>
  <c r="J26" i="104"/>
  <c r="H26" i="104"/>
  <c r="F26" i="104"/>
  <c r="D26" i="104"/>
  <c r="AD25" i="104"/>
  <c r="AE25" i="104" s="1"/>
  <c r="AA25" i="104"/>
  <c r="Y25" i="104"/>
  <c r="V25" i="104"/>
  <c r="T25" i="104"/>
  <c r="Q25" i="104"/>
  <c r="R25" i="104" s="1"/>
  <c r="J25" i="104"/>
  <c r="H25" i="104"/>
  <c r="F25" i="104"/>
  <c r="D25" i="104"/>
  <c r="AD24" i="104"/>
  <c r="AE24" i="104" s="1"/>
  <c r="AA24" i="104"/>
  <c r="Y24" i="104"/>
  <c r="V24" i="104"/>
  <c r="T24" i="104"/>
  <c r="Q24" i="104"/>
  <c r="R24" i="104" s="1"/>
  <c r="J24" i="104"/>
  <c r="H24" i="104"/>
  <c r="F24" i="104"/>
  <c r="D24" i="104"/>
  <c r="AD23" i="104"/>
  <c r="AE23" i="104" s="1"/>
  <c r="V23" i="104"/>
  <c r="J23" i="104"/>
  <c r="H23" i="104"/>
  <c r="T23" i="104"/>
  <c r="AD22" i="104"/>
  <c r="AE22" i="104" s="1"/>
  <c r="AA22" i="104"/>
  <c r="Y22" i="104"/>
  <c r="V22" i="104"/>
  <c r="T22" i="104"/>
  <c r="Q22" i="104"/>
  <c r="R22" i="104" s="1"/>
  <c r="J22" i="104"/>
  <c r="H22" i="104"/>
  <c r="F22" i="104"/>
  <c r="D22" i="104"/>
  <c r="AD21" i="104"/>
  <c r="AE21" i="104" s="1"/>
  <c r="AA21" i="104"/>
  <c r="Y21" i="104"/>
  <c r="V21" i="104"/>
  <c r="T21" i="104"/>
  <c r="Q21" i="104"/>
  <c r="R21" i="104" s="1"/>
  <c r="J21" i="104"/>
  <c r="H21" i="104"/>
  <c r="F21" i="104"/>
  <c r="D21" i="104"/>
  <c r="AD20" i="104"/>
  <c r="AE20" i="104" s="1"/>
  <c r="AA20" i="104"/>
  <c r="Y20" i="104"/>
  <c r="V20" i="104"/>
  <c r="T20" i="104"/>
  <c r="Q20" i="104"/>
  <c r="R20" i="104" s="1"/>
  <c r="J20" i="104"/>
  <c r="H20" i="104"/>
  <c r="F20" i="104"/>
  <c r="D20" i="104"/>
  <c r="AD19" i="104"/>
  <c r="AE19" i="104" s="1"/>
  <c r="V19" i="104"/>
  <c r="Q19" i="104"/>
  <c r="R19" i="104" s="1"/>
  <c r="J19" i="104"/>
  <c r="H19" i="104"/>
  <c r="F19" i="104"/>
  <c r="D19" i="104"/>
  <c r="T19" i="104"/>
  <c r="AD18" i="104"/>
  <c r="AE18" i="104" s="1"/>
  <c r="AA18" i="104"/>
  <c r="Y18" i="104"/>
  <c r="V18" i="104"/>
  <c r="T18" i="104"/>
  <c r="Q18" i="104"/>
  <c r="R18" i="104" s="1"/>
  <c r="J18" i="104"/>
  <c r="H18" i="104"/>
  <c r="F18" i="104"/>
  <c r="D18" i="104"/>
  <c r="AD17" i="104"/>
  <c r="AE17" i="104" s="1"/>
  <c r="Y17" i="104"/>
  <c r="T17" i="104"/>
  <c r="Q17" i="104"/>
  <c r="R17" i="104" s="1"/>
  <c r="J17" i="104"/>
  <c r="H17" i="104"/>
  <c r="F17" i="104"/>
  <c r="V17" i="104"/>
  <c r="AD16" i="104"/>
  <c r="AE16" i="104" s="1"/>
  <c r="AA16" i="104"/>
  <c r="Y16" i="104"/>
  <c r="V16" i="104"/>
  <c r="T16" i="104"/>
  <c r="Q16" i="104"/>
  <c r="R16" i="104" s="1"/>
  <c r="J16" i="104"/>
  <c r="H16" i="104"/>
  <c r="F16" i="104"/>
  <c r="D16" i="104"/>
  <c r="AG12" i="104"/>
  <c r="AA11" i="104"/>
  <c r="X11" i="104"/>
  <c r="U11" i="104"/>
  <c r="V11" i="104" s="1"/>
  <c r="P11" i="104"/>
  <c r="Q11" i="104" s="1"/>
  <c r="I11" i="104"/>
  <c r="J11" i="104" s="1"/>
  <c r="G11" i="104"/>
  <c r="E11" i="104"/>
  <c r="C11" i="104"/>
  <c r="AD11" i="104"/>
  <c r="AD10" i="104"/>
  <c r="AA10" i="104"/>
  <c r="X10" i="104"/>
  <c r="Y10" i="104" s="1"/>
  <c r="U10" i="104"/>
  <c r="V10" i="104" s="1"/>
  <c r="P10" i="104"/>
  <c r="Q10" i="104" s="1"/>
  <c r="I10" i="104"/>
  <c r="G10" i="104"/>
  <c r="E10" i="104"/>
  <c r="C10" i="104"/>
  <c r="D10" i="104" s="1"/>
  <c r="T10" i="104"/>
  <c r="X9" i="104"/>
  <c r="U9" i="104"/>
  <c r="V9" i="104" s="1"/>
  <c r="P9" i="104"/>
  <c r="Q9" i="104" s="1"/>
  <c r="I9" i="104"/>
  <c r="J9" i="104" s="1"/>
  <c r="G9" i="104"/>
  <c r="E9" i="104"/>
  <c r="F9" i="104" s="1"/>
  <c r="C9" i="104"/>
  <c r="AD8" i="104"/>
  <c r="V8" i="104"/>
  <c r="J8" i="104"/>
  <c r="H8" i="104"/>
  <c r="D8" i="104"/>
  <c r="T8" i="104"/>
  <c r="AC7" i="104"/>
  <c r="AD7" i="104" s="1"/>
  <c r="X7" i="104"/>
  <c r="S7" i="104"/>
  <c r="P7" i="104"/>
  <c r="I7" i="104"/>
  <c r="G7" i="104"/>
  <c r="E7" i="104"/>
  <c r="C7" i="104"/>
  <c r="AC6" i="104"/>
  <c r="AD6" i="104" s="1"/>
  <c r="Z6" i="104"/>
  <c r="AA6" i="104" s="1"/>
  <c r="X6" i="104"/>
  <c r="U6" i="104"/>
  <c r="V6" i="104" s="1"/>
  <c r="S6" i="104"/>
  <c r="T6" i="104" s="1"/>
  <c r="P6" i="104"/>
  <c r="Q6" i="104" s="1"/>
  <c r="I6" i="104"/>
  <c r="J6" i="104" s="1"/>
  <c r="G6" i="104"/>
  <c r="E6" i="104"/>
  <c r="C6" i="104"/>
  <c r="D6" i="104" s="1"/>
  <c r="AC5" i="104"/>
  <c r="Z5" i="104"/>
  <c r="X5" i="104"/>
  <c r="U5" i="104"/>
  <c r="S5" i="104"/>
  <c r="T5" i="104" s="1"/>
  <c r="P5" i="104"/>
  <c r="I5" i="104"/>
  <c r="G5" i="104"/>
  <c r="E5" i="104"/>
  <c r="C5" i="104"/>
  <c r="G246" i="33"/>
  <c r="E246" i="33"/>
  <c r="D246" i="33"/>
  <c r="E235" i="33"/>
  <c r="E236" i="33"/>
  <c r="E237" i="33"/>
  <c r="I237" i="33" s="1"/>
  <c r="D235" i="33"/>
  <c r="D236" i="33"/>
  <c r="D237" i="33"/>
  <c r="G234" i="33"/>
  <c r="G235" i="33"/>
  <c r="G236" i="33"/>
  <c r="D253" i="33"/>
  <c r="D252" i="33"/>
  <c r="D251" i="33"/>
  <c r="D247" i="33"/>
  <c r="H246" i="33"/>
  <c r="H245" i="33"/>
  <c r="G245" i="33"/>
  <c r="E245" i="33"/>
  <c r="D245" i="33"/>
  <c r="H244" i="33"/>
  <c r="G244" i="33"/>
  <c r="E244" i="33"/>
  <c r="D244" i="33"/>
  <c r="H243" i="33"/>
  <c r="G243" i="33"/>
  <c r="E243" i="33"/>
  <c r="D243" i="33"/>
  <c r="I243" i="33" s="1"/>
  <c r="C238" i="33"/>
  <c r="B238" i="33"/>
  <c r="H236" i="33"/>
  <c r="E238" i="33"/>
  <c r="H235" i="33"/>
  <c r="H233" i="33"/>
  <c r="G233" i="33"/>
  <c r="G238" i="33" s="1"/>
  <c r="E233" i="33"/>
  <c r="D233" i="33"/>
  <c r="I233" i="33" s="1"/>
  <c r="O34" i="101"/>
  <c r="J37" i="101"/>
  <c r="K37" i="101"/>
  <c r="L37" i="101"/>
  <c r="M37" i="101"/>
  <c r="N37" i="101"/>
  <c r="C37" i="101"/>
  <c r="D37" i="101"/>
  <c r="E37" i="101"/>
  <c r="H37" i="101"/>
  <c r="I37" i="101"/>
  <c r="L43" i="78"/>
  <c r="L44" i="78" s="1"/>
  <c r="L15" i="78"/>
  <c r="K43" i="78"/>
  <c r="K44" i="78" s="1"/>
  <c r="K15" i="78"/>
  <c r="J43" i="78"/>
  <c r="J44" i="78" s="1"/>
  <c r="J15" i="78"/>
  <c r="F43" i="78"/>
  <c r="F44" i="78" s="1"/>
  <c r="I43" i="78"/>
  <c r="I44" i="78" s="1"/>
  <c r="I15" i="78"/>
  <c r="G15" i="78"/>
  <c r="H15" i="78"/>
  <c r="H43" i="78"/>
  <c r="H44" i="78" s="1"/>
  <c r="G43" i="78"/>
  <c r="G44" i="78" s="1"/>
  <c r="E43" i="78"/>
  <c r="E44" i="78" s="1"/>
  <c r="D43" i="78"/>
  <c r="D44" i="78" s="1"/>
  <c r="F15" i="78"/>
  <c r="E15" i="78"/>
  <c r="D15" i="78"/>
  <c r="C44" i="78"/>
  <c r="C43" i="78"/>
  <c r="O39" i="104" l="1"/>
  <c r="L51" i="104"/>
  <c r="L140" i="101" s="1"/>
  <c r="N51" i="104"/>
  <c r="L145" i="101" s="1"/>
  <c r="O145" i="101" s="1"/>
  <c r="W22" i="104"/>
  <c r="H56" i="104"/>
  <c r="H60" i="104"/>
  <c r="W49" i="104"/>
  <c r="AF49" i="104" s="1"/>
  <c r="W45" i="104"/>
  <c r="AF45" i="104" s="1"/>
  <c r="AB33" i="104"/>
  <c r="W21" i="104"/>
  <c r="AB37" i="104"/>
  <c r="AB21" i="104"/>
  <c r="AB49" i="104"/>
  <c r="W26" i="104"/>
  <c r="AB36" i="104"/>
  <c r="AB38" i="104"/>
  <c r="W44" i="104"/>
  <c r="AF44" i="104" s="1"/>
  <c r="AB25" i="104"/>
  <c r="AB30" i="104"/>
  <c r="AB50" i="104"/>
  <c r="W20" i="104"/>
  <c r="W17" i="104"/>
  <c r="W37" i="104"/>
  <c r="W38" i="104"/>
  <c r="AF38" i="104" s="1"/>
  <c r="AB40" i="104"/>
  <c r="W46" i="104"/>
  <c r="AF46" i="104" s="1"/>
  <c r="AB28" i="104"/>
  <c r="AB29" i="104"/>
  <c r="H59" i="104"/>
  <c r="AB31" i="104"/>
  <c r="Y5" i="104"/>
  <c r="AH26" i="104"/>
  <c r="W48" i="104"/>
  <c r="W50" i="104"/>
  <c r="AB20" i="104"/>
  <c r="W47" i="104"/>
  <c r="AB18" i="104"/>
  <c r="W25" i="104"/>
  <c r="W34" i="104"/>
  <c r="AB39" i="104"/>
  <c r="H57" i="104"/>
  <c r="H61" i="104"/>
  <c r="H10" i="104"/>
  <c r="F6" i="104"/>
  <c r="W23" i="104"/>
  <c r="AB32" i="104"/>
  <c r="AB34" i="104"/>
  <c r="AB35" i="104"/>
  <c r="W43" i="104"/>
  <c r="W19" i="104"/>
  <c r="D23" i="104"/>
  <c r="W16" i="104"/>
  <c r="H11" i="104"/>
  <c r="Y11" i="104"/>
  <c r="J10" i="104"/>
  <c r="T7" i="104"/>
  <c r="AA7" i="104"/>
  <c r="J5" i="104"/>
  <c r="AA5" i="104"/>
  <c r="V5" i="104"/>
  <c r="D63" i="104"/>
  <c r="F63" i="104"/>
  <c r="W24" i="104"/>
  <c r="W18" i="104"/>
  <c r="AB24" i="104"/>
  <c r="W39" i="104"/>
  <c r="AF39" i="104" s="1"/>
  <c r="W40" i="104"/>
  <c r="AF40" i="104" s="1"/>
  <c r="AB16" i="104"/>
  <c r="AB22" i="104"/>
  <c r="AB26" i="104"/>
  <c r="W28" i="104"/>
  <c r="W30" i="104"/>
  <c r="W32" i="104"/>
  <c r="AH37" i="104"/>
  <c r="AH25" i="104"/>
  <c r="W29" i="104"/>
  <c r="W31" i="104"/>
  <c r="W33" i="104"/>
  <c r="AH33" i="104" s="1"/>
  <c r="W35" i="104"/>
  <c r="W36" i="104"/>
  <c r="AB43" i="104"/>
  <c r="AF43" i="104" s="1"/>
  <c r="AB44" i="104"/>
  <c r="AB45" i="104"/>
  <c r="AB46" i="104"/>
  <c r="AB47" i="104"/>
  <c r="AA42" i="104"/>
  <c r="AB42" i="104" s="1"/>
  <c r="F10" i="104"/>
  <c r="D11" i="104"/>
  <c r="B12" i="104"/>
  <c r="AA17" i="104"/>
  <c r="AB17" i="104" s="1"/>
  <c r="Y19" i="104"/>
  <c r="V27" i="104"/>
  <c r="W27" i="104" s="1"/>
  <c r="T41" i="104"/>
  <c r="D42" i="104"/>
  <c r="H6" i="104"/>
  <c r="D7" i="104"/>
  <c r="AA8" i="104"/>
  <c r="H9" i="104"/>
  <c r="D17" i="104"/>
  <c r="AA19" i="104"/>
  <c r="Y23" i="104"/>
  <c r="V41" i="104"/>
  <c r="F42" i="104"/>
  <c r="AD42" i="104"/>
  <c r="AE42" i="104" s="1"/>
  <c r="Q5" i="104"/>
  <c r="Y6" i="104"/>
  <c r="AA9" i="104"/>
  <c r="F11" i="104"/>
  <c r="AA23" i="104"/>
  <c r="Y27" i="104"/>
  <c r="H42" i="104"/>
  <c r="F7" i="104"/>
  <c r="Y41" i="104"/>
  <c r="J42" i="104"/>
  <c r="O42" i="104" s="1"/>
  <c r="H55" i="104"/>
  <c r="AD5" i="104"/>
  <c r="V7" i="104"/>
  <c r="AA27" i="104"/>
  <c r="F8" i="104"/>
  <c r="AD9" i="104"/>
  <c r="D27" i="104"/>
  <c r="AA41" i="104"/>
  <c r="B51" i="104"/>
  <c r="D5" i="104"/>
  <c r="H27" i="104"/>
  <c r="F41" i="104"/>
  <c r="AD41" i="104"/>
  <c r="AE41" i="104" s="1"/>
  <c r="J7" i="104"/>
  <c r="J27" i="104"/>
  <c r="H41" i="104"/>
  <c r="T42" i="104"/>
  <c r="H7" i="104"/>
  <c r="Q8" i="104"/>
  <c r="T9" i="104"/>
  <c r="Q23" i="104"/>
  <c r="R23" i="104" s="1"/>
  <c r="R51" i="104" s="1"/>
  <c r="L150" i="101" s="1"/>
  <c r="L151" i="101" s="1"/>
  <c r="J41" i="104"/>
  <c r="O41" i="104" s="1"/>
  <c r="V42" i="104"/>
  <c r="F5" i="104"/>
  <c r="H5" i="104"/>
  <c r="D9" i="104"/>
  <c r="Q7" i="104"/>
  <c r="G247" i="33"/>
  <c r="I244" i="33"/>
  <c r="H247" i="33"/>
  <c r="I246" i="33"/>
  <c r="I245" i="33"/>
  <c r="I235" i="33"/>
  <c r="I236" i="33"/>
  <c r="I234" i="33"/>
  <c r="H238" i="33"/>
  <c r="D238" i="33"/>
  <c r="E247" i="33"/>
  <c r="P44" i="78"/>
  <c r="R44" i="78" s="1"/>
  <c r="O140" i="101" l="1"/>
  <c r="O141" i="101" s="1"/>
  <c r="Q141" i="101" s="1"/>
  <c r="L141" i="101"/>
  <c r="O146" i="101"/>
  <c r="Q146" i="101" s="1"/>
  <c r="L146" i="101"/>
  <c r="AF17" i="104"/>
  <c r="AH45" i="104"/>
  <c r="AE51" i="104"/>
  <c r="AF36" i="104"/>
  <c r="J51" i="104"/>
  <c r="O27" i="104"/>
  <c r="AH22" i="104"/>
  <c r="AH34" i="104"/>
  <c r="AH48" i="104"/>
  <c r="AH23" i="104"/>
  <c r="AD51" i="104"/>
  <c r="L162" i="101" s="1"/>
  <c r="AH49" i="104"/>
  <c r="AH21" i="104"/>
  <c r="AH50" i="104"/>
  <c r="AH29" i="104"/>
  <c r="F51" i="104"/>
  <c r="AH17" i="104"/>
  <c r="AH36" i="104"/>
  <c r="AH19" i="104"/>
  <c r="H51" i="104"/>
  <c r="AH44" i="104"/>
  <c r="AH20" i="104"/>
  <c r="AH28" i="104"/>
  <c r="AH35" i="104"/>
  <c r="AH32" i="104"/>
  <c r="AH39" i="104"/>
  <c r="AH47" i="104"/>
  <c r="AB5" i="104"/>
  <c r="AB12" i="104" s="1"/>
  <c r="V12" i="104"/>
  <c r="W41" i="104"/>
  <c r="AF41" i="104" s="1"/>
  <c r="AH46" i="104"/>
  <c r="AH43" i="104"/>
  <c r="H63" i="104"/>
  <c r="AH16" i="104"/>
  <c r="AH18" i="104"/>
  <c r="AF6" i="104"/>
  <c r="AH27" i="104"/>
  <c r="J12" i="104"/>
  <c r="AH24" i="104"/>
  <c r="AH40" i="104"/>
  <c r="AB19" i="104"/>
  <c r="AF19" i="104" s="1"/>
  <c r="AF10" i="104"/>
  <c r="AF11" i="104"/>
  <c r="AH30" i="104"/>
  <c r="AA51" i="104"/>
  <c r="T12" i="104"/>
  <c r="V51" i="104"/>
  <c r="B72" i="104" s="1"/>
  <c r="AH38" i="104"/>
  <c r="AH31" i="104"/>
  <c r="AB41" i="104"/>
  <c r="B65" i="104"/>
  <c r="AB23" i="104"/>
  <c r="D51" i="104"/>
  <c r="B68" i="104" s="1"/>
  <c r="AB27" i="104"/>
  <c r="Q51" i="104"/>
  <c r="B70" i="104" s="1"/>
  <c r="T51" i="104"/>
  <c r="B71" i="104" s="1"/>
  <c r="AF8" i="104"/>
  <c r="W12" i="104"/>
  <c r="Q12" i="104"/>
  <c r="R12" i="104" s="1"/>
  <c r="R5" i="104"/>
  <c r="AE5" i="104"/>
  <c r="AE12" i="104" s="1"/>
  <c r="AD12" i="104"/>
  <c r="AA12" i="104"/>
  <c r="D12" i="104"/>
  <c r="Y12" i="104"/>
  <c r="AF9" i="104"/>
  <c r="W42" i="104"/>
  <c r="AF42" i="104" s="1"/>
  <c r="H12" i="104"/>
  <c r="Y51" i="104"/>
  <c r="L158" i="101" s="1"/>
  <c r="L159" i="101" s="1"/>
  <c r="F12" i="104"/>
  <c r="I247" i="33"/>
  <c r="I238" i="33"/>
  <c r="L34" i="78"/>
  <c r="K34" i="78"/>
  <c r="E133" i="101"/>
  <c r="F57" i="96"/>
  <c r="F58" i="96"/>
  <c r="D57" i="96"/>
  <c r="D58" i="96"/>
  <c r="G57" i="96"/>
  <c r="L27" i="78"/>
  <c r="L8" i="78"/>
  <c r="L28" i="78"/>
  <c r="L9" i="78"/>
  <c r="L26" i="78"/>
  <c r="L7" i="78"/>
  <c r="L24" i="78"/>
  <c r="L5" i="78"/>
  <c r="J158" i="101"/>
  <c r="J162" i="101"/>
  <c r="K161" i="101"/>
  <c r="K156" i="101"/>
  <c r="K149" i="101"/>
  <c r="K132" i="101"/>
  <c r="K131" i="101"/>
  <c r="K124" i="101"/>
  <c r="K89" i="101"/>
  <c r="K120" i="101" s="1"/>
  <c r="K48" i="101"/>
  <c r="K84" i="101" s="1"/>
  <c r="O80" i="101"/>
  <c r="O79" i="101"/>
  <c r="O77" i="101"/>
  <c r="O67" i="101"/>
  <c r="O55" i="101"/>
  <c r="O53" i="101"/>
  <c r="O49" i="101"/>
  <c r="O50" i="101"/>
  <c r="O51" i="101"/>
  <c r="O52" i="101"/>
  <c r="O54" i="101"/>
  <c r="O56" i="101"/>
  <c r="O57" i="101"/>
  <c r="O58" i="101"/>
  <c r="O59" i="101"/>
  <c r="O60" i="101"/>
  <c r="O61" i="101"/>
  <c r="O62" i="101"/>
  <c r="O63" i="101"/>
  <c r="O64" i="101"/>
  <c r="O65" i="101"/>
  <c r="O66" i="101"/>
  <c r="O68" i="101"/>
  <c r="O69" i="101"/>
  <c r="O70" i="101"/>
  <c r="O71" i="101"/>
  <c r="O72" i="101"/>
  <c r="O73" i="101"/>
  <c r="O74" i="101"/>
  <c r="O75" i="101"/>
  <c r="O76" i="101"/>
  <c r="O78" i="101"/>
  <c r="O81" i="101"/>
  <c r="O82" i="101"/>
  <c r="O83" i="101"/>
  <c r="B42" i="103"/>
  <c r="U42" i="103" s="1"/>
  <c r="B41" i="103"/>
  <c r="P41" i="103" s="1"/>
  <c r="B27" i="103"/>
  <c r="U27" i="103" s="1"/>
  <c r="B19" i="103"/>
  <c r="Z19" i="103" s="1"/>
  <c r="AA19" i="103" s="1"/>
  <c r="B23" i="103"/>
  <c r="U23" i="103" s="1"/>
  <c r="X23" i="103" s="1"/>
  <c r="B17" i="103"/>
  <c r="W17" i="103" s="1"/>
  <c r="B11" i="103"/>
  <c r="M11" i="103" s="1"/>
  <c r="N11" i="103" s="1"/>
  <c r="B10" i="103"/>
  <c r="P10" i="103" s="1"/>
  <c r="B9" i="103"/>
  <c r="B8" i="103"/>
  <c r="M8" i="103" s="1"/>
  <c r="N8" i="103" s="1"/>
  <c r="B7" i="103"/>
  <c r="B6" i="103"/>
  <c r="B5" i="103"/>
  <c r="W5" i="103" s="1"/>
  <c r="G63" i="103"/>
  <c r="B63" i="103"/>
  <c r="B74" i="103" s="1"/>
  <c r="G62" i="103"/>
  <c r="F62" i="103"/>
  <c r="H62" i="103" s="1"/>
  <c r="D62" i="103"/>
  <c r="G61" i="103"/>
  <c r="F61" i="103"/>
  <c r="H61" i="103" s="1"/>
  <c r="D61" i="103"/>
  <c r="G60" i="103"/>
  <c r="F60" i="103"/>
  <c r="H60" i="103" s="1"/>
  <c r="D60" i="103"/>
  <c r="G59" i="103"/>
  <c r="F59" i="103"/>
  <c r="D59" i="103"/>
  <c r="G58" i="103"/>
  <c r="F58" i="103"/>
  <c r="D58" i="103"/>
  <c r="G57" i="103"/>
  <c r="F57" i="103"/>
  <c r="H57" i="103" s="1"/>
  <c r="D57" i="103"/>
  <c r="G56" i="103"/>
  <c r="F56" i="103"/>
  <c r="H56" i="103" s="1"/>
  <c r="D56" i="103"/>
  <c r="G55" i="103"/>
  <c r="F55" i="103"/>
  <c r="D55" i="103"/>
  <c r="AC51" i="103"/>
  <c r="AC50" i="103"/>
  <c r="Z50" i="103"/>
  <c r="AA50" i="103" s="1"/>
  <c r="W50" i="103"/>
  <c r="U50" i="103"/>
  <c r="X50" i="103" s="1"/>
  <c r="R50" i="103"/>
  <c r="P50" i="103"/>
  <c r="M50" i="103"/>
  <c r="N50" i="103" s="1"/>
  <c r="J50" i="103"/>
  <c r="H50" i="103"/>
  <c r="F50" i="103"/>
  <c r="D50" i="103"/>
  <c r="AC49" i="103"/>
  <c r="Z49" i="103"/>
  <c r="AA49" i="103" s="1"/>
  <c r="W49" i="103"/>
  <c r="U49" i="103"/>
  <c r="X49" i="103" s="1"/>
  <c r="R49" i="103"/>
  <c r="P49" i="103"/>
  <c r="S49" i="103" s="1"/>
  <c r="M49" i="103"/>
  <c r="N49" i="103" s="1"/>
  <c r="J49" i="103"/>
  <c r="H49" i="103"/>
  <c r="F49" i="103"/>
  <c r="K49" i="103" s="1"/>
  <c r="D49" i="103"/>
  <c r="AC48" i="103"/>
  <c r="Z48" i="103"/>
  <c r="AA48" i="103" s="1"/>
  <c r="W48" i="103"/>
  <c r="X48" i="103" s="1"/>
  <c r="R48" i="103"/>
  <c r="P48" i="103"/>
  <c r="S48" i="103" s="1"/>
  <c r="M48" i="103"/>
  <c r="N48" i="103" s="1"/>
  <c r="J48" i="103"/>
  <c r="H48" i="103"/>
  <c r="K48" i="103" s="1"/>
  <c r="F48" i="103"/>
  <c r="D48" i="103"/>
  <c r="AC47" i="103"/>
  <c r="Z47" i="103"/>
  <c r="AA47" i="103" s="1"/>
  <c r="W47" i="103"/>
  <c r="U47" i="103"/>
  <c r="R47" i="103"/>
  <c r="S47" i="103" s="1"/>
  <c r="P47" i="103"/>
  <c r="M47" i="103"/>
  <c r="N47" i="103" s="1"/>
  <c r="J47" i="103"/>
  <c r="H47" i="103"/>
  <c r="K47" i="103" s="1"/>
  <c r="F47" i="103"/>
  <c r="D47" i="103"/>
  <c r="AC46" i="103"/>
  <c r="U46" i="103"/>
  <c r="AC45" i="103"/>
  <c r="Z45" i="103"/>
  <c r="AA45" i="103" s="1"/>
  <c r="W45" i="103"/>
  <c r="U45" i="103"/>
  <c r="R45" i="103"/>
  <c r="P45" i="103"/>
  <c r="S45" i="103" s="1"/>
  <c r="M45" i="103"/>
  <c r="N45" i="103" s="1"/>
  <c r="J45" i="103"/>
  <c r="H45" i="103"/>
  <c r="F45" i="103"/>
  <c r="K45" i="103" s="1"/>
  <c r="D45" i="103"/>
  <c r="AC44" i="103"/>
  <c r="Z44" i="103"/>
  <c r="AA44" i="103" s="1"/>
  <c r="W44" i="103"/>
  <c r="U44" i="103"/>
  <c r="X44" i="103" s="1"/>
  <c r="R44" i="103"/>
  <c r="P44" i="103"/>
  <c r="S44" i="103" s="1"/>
  <c r="M44" i="103"/>
  <c r="N44" i="103" s="1"/>
  <c r="J44" i="103"/>
  <c r="H44" i="103"/>
  <c r="K44" i="103" s="1"/>
  <c r="F44" i="103"/>
  <c r="D44" i="103"/>
  <c r="AC43" i="103"/>
  <c r="Z43" i="103"/>
  <c r="AA43" i="103" s="1"/>
  <c r="W43" i="103"/>
  <c r="U43" i="103"/>
  <c r="X43" i="103" s="1"/>
  <c r="R43" i="103"/>
  <c r="P43" i="103"/>
  <c r="S43" i="103" s="1"/>
  <c r="M43" i="103"/>
  <c r="N43" i="103" s="1"/>
  <c r="J43" i="103"/>
  <c r="H43" i="103"/>
  <c r="F43" i="103"/>
  <c r="D43" i="103"/>
  <c r="AC42" i="103"/>
  <c r="M42" i="103"/>
  <c r="N42" i="103" s="1"/>
  <c r="J42" i="103"/>
  <c r="D42" i="103"/>
  <c r="W42" i="103"/>
  <c r="AC41" i="103"/>
  <c r="M41" i="103"/>
  <c r="N41" i="103" s="1"/>
  <c r="AC40" i="103"/>
  <c r="H40" i="103"/>
  <c r="Z40" i="103"/>
  <c r="AA40" i="103" s="1"/>
  <c r="AC39" i="103"/>
  <c r="Z39" i="103"/>
  <c r="AA39" i="103" s="1"/>
  <c r="W39" i="103"/>
  <c r="U39" i="103"/>
  <c r="X39" i="103" s="1"/>
  <c r="R39" i="103"/>
  <c r="P39" i="103"/>
  <c r="N39" i="103"/>
  <c r="M39" i="103"/>
  <c r="J39" i="103"/>
  <c r="H39" i="103"/>
  <c r="F39" i="103"/>
  <c r="D39" i="103"/>
  <c r="AC38" i="103"/>
  <c r="Z38" i="103"/>
  <c r="AA38" i="103" s="1"/>
  <c r="W38" i="103"/>
  <c r="U38" i="103"/>
  <c r="X38" i="103" s="1"/>
  <c r="R38" i="103"/>
  <c r="P38" i="103"/>
  <c r="M38" i="103"/>
  <c r="N38" i="103" s="1"/>
  <c r="J38" i="103"/>
  <c r="H38" i="103"/>
  <c r="F38" i="103"/>
  <c r="D38" i="103"/>
  <c r="AC37" i="103"/>
  <c r="Z37" i="103"/>
  <c r="AA37" i="103" s="1"/>
  <c r="W37" i="103"/>
  <c r="U37" i="103"/>
  <c r="X37" i="103" s="1"/>
  <c r="R37" i="103"/>
  <c r="P37" i="103"/>
  <c r="S37" i="103" s="1"/>
  <c r="M37" i="103"/>
  <c r="N37" i="103" s="1"/>
  <c r="J37" i="103"/>
  <c r="H37" i="103"/>
  <c r="F37" i="103"/>
  <c r="D37" i="103"/>
  <c r="AC36" i="103"/>
  <c r="Z36" i="103"/>
  <c r="AA36" i="103" s="1"/>
  <c r="W36" i="103"/>
  <c r="U36" i="103"/>
  <c r="R36" i="103"/>
  <c r="P36" i="103"/>
  <c r="M36" i="103"/>
  <c r="N36" i="103" s="1"/>
  <c r="J36" i="103"/>
  <c r="H36" i="103"/>
  <c r="F36" i="103"/>
  <c r="D36" i="103"/>
  <c r="AC35" i="103"/>
  <c r="Z35" i="103"/>
  <c r="AA35" i="103" s="1"/>
  <c r="W35" i="103"/>
  <c r="U35" i="103"/>
  <c r="X35" i="103" s="1"/>
  <c r="S35" i="103"/>
  <c r="R35" i="103"/>
  <c r="P35" i="103"/>
  <c r="N35" i="103"/>
  <c r="M35" i="103"/>
  <c r="J35" i="103"/>
  <c r="H35" i="103"/>
  <c r="F35" i="103"/>
  <c r="K35" i="103" s="1"/>
  <c r="D35" i="103"/>
  <c r="AC34" i="103"/>
  <c r="Z34" i="103"/>
  <c r="AA34" i="103" s="1"/>
  <c r="W34" i="103"/>
  <c r="U34" i="103"/>
  <c r="R34" i="103"/>
  <c r="P34" i="103"/>
  <c r="S34" i="103" s="1"/>
  <c r="M34" i="103"/>
  <c r="N34" i="103" s="1"/>
  <c r="J34" i="103"/>
  <c r="H34" i="103"/>
  <c r="F34" i="103"/>
  <c r="K34" i="103" s="1"/>
  <c r="D34" i="103"/>
  <c r="AC33" i="103"/>
  <c r="Z33" i="103"/>
  <c r="AA33" i="103" s="1"/>
  <c r="X33" i="103"/>
  <c r="W33" i="103"/>
  <c r="U33" i="103"/>
  <c r="R33" i="103"/>
  <c r="S33" i="103" s="1"/>
  <c r="P33" i="103"/>
  <c r="M33" i="103"/>
  <c r="N33" i="103" s="1"/>
  <c r="J33" i="103"/>
  <c r="H33" i="103"/>
  <c r="F33" i="103"/>
  <c r="D33" i="103"/>
  <c r="AC32" i="103"/>
  <c r="Z32" i="103"/>
  <c r="AA32" i="103" s="1"/>
  <c r="W32" i="103"/>
  <c r="U32" i="103"/>
  <c r="R32" i="103"/>
  <c r="P32" i="103"/>
  <c r="S32" i="103" s="1"/>
  <c r="M32" i="103"/>
  <c r="N32" i="103" s="1"/>
  <c r="J32" i="103"/>
  <c r="H32" i="103"/>
  <c r="F32" i="103"/>
  <c r="K32" i="103" s="1"/>
  <c r="D32" i="103"/>
  <c r="AC31" i="103"/>
  <c r="Z31" i="103"/>
  <c r="AA31" i="103" s="1"/>
  <c r="W31" i="103"/>
  <c r="U31" i="103"/>
  <c r="X31" i="103" s="1"/>
  <c r="R31" i="103"/>
  <c r="P31" i="103"/>
  <c r="S31" i="103" s="1"/>
  <c r="M31" i="103"/>
  <c r="N31" i="103" s="1"/>
  <c r="J31" i="103"/>
  <c r="H31" i="103"/>
  <c r="F31" i="103"/>
  <c r="K31" i="103" s="1"/>
  <c r="D31" i="103"/>
  <c r="AC30" i="103"/>
  <c r="Z30" i="103"/>
  <c r="AA30" i="103" s="1"/>
  <c r="W30" i="103"/>
  <c r="U30" i="103"/>
  <c r="X30" i="103" s="1"/>
  <c r="R30" i="103"/>
  <c r="P30" i="103"/>
  <c r="M30" i="103"/>
  <c r="N30" i="103" s="1"/>
  <c r="J30" i="103"/>
  <c r="H30" i="103"/>
  <c r="F30" i="103"/>
  <c r="K30" i="103" s="1"/>
  <c r="D30" i="103"/>
  <c r="AC29" i="103"/>
  <c r="Z29" i="103"/>
  <c r="AA29" i="103" s="1"/>
  <c r="W29" i="103"/>
  <c r="X29" i="103" s="1"/>
  <c r="U29" i="103"/>
  <c r="S29" i="103"/>
  <c r="R29" i="103"/>
  <c r="P29" i="103"/>
  <c r="M29" i="103"/>
  <c r="N29" i="103" s="1"/>
  <c r="J29" i="103"/>
  <c r="H29" i="103"/>
  <c r="F29" i="103"/>
  <c r="K29" i="103" s="1"/>
  <c r="D29" i="103"/>
  <c r="AC28" i="103"/>
  <c r="Z28" i="103"/>
  <c r="AA28" i="103" s="1"/>
  <c r="W28" i="103"/>
  <c r="U28" i="103"/>
  <c r="R28" i="103"/>
  <c r="P28" i="103"/>
  <c r="S28" i="103" s="1"/>
  <c r="N28" i="103"/>
  <c r="M28" i="103"/>
  <c r="J28" i="103"/>
  <c r="H28" i="103"/>
  <c r="F28" i="103"/>
  <c r="K28" i="103" s="1"/>
  <c r="D28" i="103"/>
  <c r="AC27" i="103"/>
  <c r="Z27" i="103"/>
  <c r="AA27" i="103" s="1"/>
  <c r="W27" i="103"/>
  <c r="M27" i="103"/>
  <c r="N27" i="103" s="1"/>
  <c r="J27" i="103"/>
  <c r="H27" i="103"/>
  <c r="F27" i="103"/>
  <c r="D27" i="103"/>
  <c r="AC26" i="103"/>
  <c r="Z26" i="103"/>
  <c r="AA26" i="103" s="1"/>
  <c r="W26" i="103"/>
  <c r="U26" i="103"/>
  <c r="R26" i="103"/>
  <c r="P26" i="103"/>
  <c r="S26" i="103" s="1"/>
  <c r="M26" i="103"/>
  <c r="N26" i="103" s="1"/>
  <c r="J26" i="103"/>
  <c r="H26" i="103"/>
  <c r="F26" i="103"/>
  <c r="D26" i="103"/>
  <c r="AC25" i="103"/>
  <c r="Z25" i="103"/>
  <c r="AA25" i="103" s="1"/>
  <c r="W25" i="103"/>
  <c r="U25" i="103"/>
  <c r="R25" i="103"/>
  <c r="P25" i="103"/>
  <c r="S25" i="103" s="1"/>
  <c r="M25" i="103"/>
  <c r="N25" i="103" s="1"/>
  <c r="J25" i="103"/>
  <c r="H25" i="103"/>
  <c r="F25" i="103"/>
  <c r="D25" i="103"/>
  <c r="AC24" i="103"/>
  <c r="Z24" i="103"/>
  <c r="AA24" i="103" s="1"/>
  <c r="W24" i="103"/>
  <c r="U24" i="103"/>
  <c r="X24" i="103" s="1"/>
  <c r="R24" i="103"/>
  <c r="P24" i="103"/>
  <c r="S24" i="103" s="1"/>
  <c r="N24" i="103"/>
  <c r="M24" i="103"/>
  <c r="J24" i="103"/>
  <c r="H24" i="103"/>
  <c r="F24" i="103"/>
  <c r="D24" i="103"/>
  <c r="AC23" i="103"/>
  <c r="W23" i="103"/>
  <c r="AC22" i="103"/>
  <c r="Z22" i="103"/>
  <c r="AA22" i="103" s="1"/>
  <c r="W22" i="103"/>
  <c r="U22" i="103"/>
  <c r="X22" i="103" s="1"/>
  <c r="R22" i="103"/>
  <c r="P22" i="103"/>
  <c r="S22" i="103" s="1"/>
  <c r="N22" i="103"/>
  <c r="M22" i="103"/>
  <c r="J22" i="103"/>
  <c r="H22" i="103"/>
  <c r="F22" i="103"/>
  <c r="D22" i="103"/>
  <c r="AC21" i="103"/>
  <c r="Z21" i="103"/>
  <c r="AA21" i="103" s="1"/>
  <c r="W21" i="103"/>
  <c r="U21" i="103"/>
  <c r="S21" i="103"/>
  <c r="R21" i="103"/>
  <c r="P21" i="103"/>
  <c r="M21" i="103"/>
  <c r="N21" i="103" s="1"/>
  <c r="J21" i="103"/>
  <c r="H21" i="103"/>
  <c r="F21" i="103"/>
  <c r="K21" i="103" s="1"/>
  <c r="D21" i="103"/>
  <c r="AC20" i="103"/>
  <c r="Z20" i="103"/>
  <c r="AA20" i="103" s="1"/>
  <c r="W20" i="103"/>
  <c r="U20" i="103"/>
  <c r="R20" i="103"/>
  <c r="P20" i="103"/>
  <c r="S20" i="103" s="1"/>
  <c r="N20" i="103"/>
  <c r="M20" i="103"/>
  <c r="J20" i="103"/>
  <c r="H20" i="103"/>
  <c r="F20" i="103"/>
  <c r="D20" i="103"/>
  <c r="AC19" i="103"/>
  <c r="AC18" i="103"/>
  <c r="Z18" i="103"/>
  <c r="AA18" i="103" s="1"/>
  <c r="W18" i="103"/>
  <c r="U18" i="103"/>
  <c r="R18" i="103"/>
  <c r="P18" i="103"/>
  <c r="M18" i="103"/>
  <c r="N18" i="103" s="1"/>
  <c r="J18" i="103"/>
  <c r="H18" i="103"/>
  <c r="F18" i="103"/>
  <c r="D18" i="103"/>
  <c r="AC17" i="103"/>
  <c r="Z17" i="103"/>
  <c r="AA17" i="103" s="1"/>
  <c r="P17" i="103"/>
  <c r="M17" i="103"/>
  <c r="N17" i="103" s="1"/>
  <c r="J17" i="103"/>
  <c r="H17" i="103"/>
  <c r="K17" i="103" s="1"/>
  <c r="F17" i="103"/>
  <c r="D17" i="103"/>
  <c r="AC16" i="103"/>
  <c r="Z16" i="103"/>
  <c r="AA16" i="103" s="1"/>
  <c r="W16" i="103"/>
  <c r="U16" i="103"/>
  <c r="X16" i="103" s="1"/>
  <c r="R16" i="103"/>
  <c r="P16" i="103"/>
  <c r="M16" i="103"/>
  <c r="N16" i="103" s="1"/>
  <c r="J16" i="103"/>
  <c r="H16" i="103"/>
  <c r="F16" i="103"/>
  <c r="D16" i="103"/>
  <c r="AC12" i="103"/>
  <c r="V11" i="103"/>
  <c r="T11" i="103"/>
  <c r="Q11" i="103"/>
  <c r="L11" i="103"/>
  <c r="I11" i="103"/>
  <c r="G11" i="103"/>
  <c r="E11" i="103"/>
  <c r="C11" i="103"/>
  <c r="AC11" i="103" s="1"/>
  <c r="W10" i="103"/>
  <c r="V10" i="103"/>
  <c r="U10" i="103"/>
  <c r="T10" i="103"/>
  <c r="Q10" i="103"/>
  <c r="L10" i="103"/>
  <c r="J10" i="103"/>
  <c r="I10" i="103"/>
  <c r="H10" i="103"/>
  <c r="G10" i="103"/>
  <c r="F10" i="103"/>
  <c r="K10" i="103" s="1"/>
  <c r="E10" i="103"/>
  <c r="C10" i="103"/>
  <c r="D10" i="103" s="1"/>
  <c r="Z10" i="103"/>
  <c r="AA10" i="103" s="1"/>
  <c r="V9" i="103"/>
  <c r="T9" i="103"/>
  <c r="Q9" i="103"/>
  <c r="R9" i="103" s="1"/>
  <c r="L9" i="103"/>
  <c r="I9" i="103"/>
  <c r="G9" i="103"/>
  <c r="E9" i="103"/>
  <c r="AC9" i="103" s="1"/>
  <c r="D9" i="103"/>
  <c r="C9" i="103"/>
  <c r="P9" i="103"/>
  <c r="AC8" i="103"/>
  <c r="P8" i="103"/>
  <c r="Y7" i="103"/>
  <c r="Z7" i="103" s="1"/>
  <c r="AA7" i="103" s="1"/>
  <c r="W7" i="103"/>
  <c r="X7" i="103" s="1"/>
  <c r="V7" i="103"/>
  <c r="T7" i="103"/>
  <c r="Q7" i="103"/>
  <c r="O7" i="103"/>
  <c r="P7" i="103" s="1"/>
  <c r="L7" i="103"/>
  <c r="M7" i="103" s="1"/>
  <c r="N7" i="103" s="1"/>
  <c r="J7" i="103"/>
  <c r="I7" i="103"/>
  <c r="G7" i="103"/>
  <c r="E7" i="103"/>
  <c r="F7" i="103" s="1"/>
  <c r="C7" i="103"/>
  <c r="AC7" i="103" s="1"/>
  <c r="H7" i="103"/>
  <c r="Y6" i="103"/>
  <c r="V6" i="103"/>
  <c r="U6" i="103"/>
  <c r="T6" i="103"/>
  <c r="Q6" i="103"/>
  <c r="R6" i="103" s="1"/>
  <c r="P6" i="103"/>
  <c r="O6" i="103"/>
  <c r="L6" i="103"/>
  <c r="I6" i="103"/>
  <c r="G6" i="103"/>
  <c r="E6" i="103"/>
  <c r="AC6" i="103" s="1"/>
  <c r="D6" i="103"/>
  <c r="C6" i="103"/>
  <c r="Z6" i="103"/>
  <c r="AA6" i="103" s="1"/>
  <c r="Y5" i="103"/>
  <c r="Z5" i="103" s="1"/>
  <c r="V5" i="103"/>
  <c r="T5" i="103"/>
  <c r="R5" i="103"/>
  <c r="Q5" i="103"/>
  <c r="O5" i="103"/>
  <c r="P5" i="103" s="1"/>
  <c r="M5" i="103"/>
  <c r="L5" i="103"/>
  <c r="I5" i="103"/>
  <c r="H5" i="103"/>
  <c r="G5" i="103"/>
  <c r="F5" i="103"/>
  <c r="E5" i="103"/>
  <c r="C5" i="103"/>
  <c r="AC5" i="103" s="1"/>
  <c r="D5" i="103"/>
  <c r="I219" i="33"/>
  <c r="I220" i="33"/>
  <c r="I221" i="33"/>
  <c r="I209" i="33"/>
  <c r="I210" i="33"/>
  <c r="I211" i="33"/>
  <c r="I212" i="33"/>
  <c r="D209" i="33"/>
  <c r="D210" i="33"/>
  <c r="D211" i="33"/>
  <c r="D212" i="33"/>
  <c r="G209" i="33"/>
  <c r="G210" i="33"/>
  <c r="G211" i="33"/>
  <c r="D228" i="33"/>
  <c r="D227" i="33"/>
  <c r="D226" i="33"/>
  <c r="D222" i="33"/>
  <c r="H221" i="33"/>
  <c r="G221" i="33"/>
  <c r="E221" i="33"/>
  <c r="D221" i="33"/>
  <c r="H220" i="33"/>
  <c r="G220" i="33"/>
  <c r="E220" i="33"/>
  <c r="D220" i="33"/>
  <c r="H219" i="33"/>
  <c r="G219" i="33"/>
  <c r="E219" i="33"/>
  <c r="D219" i="33"/>
  <c r="H218" i="33"/>
  <c r="H222" i="33" s="1"/>
  <c r="G218" i="33"/>
  <c r="G222" i="33" s="1"/>
  <c r="E218" i="33"/>
  <c r="E222" i="33" s="1"/>
  <c r="D218" i="33"/>
  <c r="I218" i="33" s="1"/>
  <c r="C213" i="33"/>
  <c r="B213" i="33"/>
  <c r="E212" i="33"/>
  <c r="H211" i="33"/>
  <c r="E211" i="33"/>
  <c r="H210" i="33"/>
  <c r="E210" i="33"/>
  <c r="H209" i="33"/>
  <c r="E209" i="33"/>
  <c r="H208" i="33"/>
  <c r="H213" i="33" s="1"/>
  <c r="G208" i="33"/>
  <c r="G213" i="33" s="1"/>
  <c r="E208" i="33"/>
  <c r="E213" i="33" s="1"/>
  <c r="D208" i="33"/>
  <c r="K128" i="101" l="1"/>
  <c r="L133" i="101"/>
  <c r="L134" i="101" s="1"/>
  <c r="L136" i="101" s="1"/>
  <c r="AF27" i="104"/>
  <c r="AH41" i="104"/>
  <c r="AF7" i="104"/>
  <c r="O12" i="104"/>
  <c r="B69" i="104" s="1"/>
  <c r="AF5" i="104"/>
  <c r="AB51" i="104"/>
  <c r="B73" i="104" s="1"/>
  <c r="W51" i="104"/>
  <c r="AH42" i="104"/>
  <c r="AH51" i="104" s="1"/>
  <c r="I248" i="33"/>
  <c r="I253" i="33" s="1"/>
  <c r="P43" i="78"/>
  <c r="R43" i="78" s="1"/>
  <c r="S50" i="103"/>
  <c r="X45" i="103"/>
  <c r="AB45" i="103" s="1"/>
  <c r="K43" i="103"/>
  <c r="P42" i="103"/>
  <c r="X42" i="103"/>
  <c r="D63" i="103"/>
  <c r="S39" i="103"/>
  <c r="K38" i="103"/>
  <c r="AB38" i="103" s="1"/>
  <c r="P27" i="103"/>
  <c r="R27" i="103"/>
  <c r="K33" i="103"/>
  <c r="K25" i="103"/>
  <c r="K27" i="103"/>
  <c r="D19" i="103"/>
  <c r="F19" i="103"/>
  <c r="H19" i="103"/>
  <c r="M19" i="103"/>
  <c r="N19" i="103" s="1"/>
  <c r="P19" i="103"/>
  <c r="R19" i="103"/>
  <c r="S19" i="103" s="1"/>
  <c r="U19" i="103"/>
  <c r="X19" i="103" s="1"/>
  <c r="W19" i="103"/>
  <c r="J19" i="103"/>
  <c r="Z23" i="103"/>
  <c r="AA23" i="103" s="1"/>
  <c r="D23" i="103"/>
  <c r="F23" i="103"/>
  <c r="K23" i="103" s="1"/>
  <c r="H23" i="103"/>
  <c r="J23" i="103"/>
  <c r="M23" i="103"/>
  <c r="N23" i="103" s="1"/>
  <c r="P23" i="103"/>
  <c r="R23" i="103"/>
  <c r="S18" i="103"/>
  <c r="X18" i="103"/>
  <c r="F63" i="103"/>
  <c r="H59" i="103"/>
  <c r="H58" i="103"/>
  <c r="AD21" i="103"/>
  <c r="AD31" i="103"/>
  <c r="AD29" i="103"/>
  <c r="AD25" i="103"/>
  <c r="X20" i="103"/>
  <c r="X28" i="103"/>
  <c r="AB28" i="103" s="1"/>
  <c r="S36" i="103"/>
  <c r="AD36" i="103" s="1"/>
  <c r="AB44" i="103"/>
  <c r="AD47" i="103"/>
  <c r="X21" i="103"/>
  <c r="AB21" i="103" s="1"/>
  <c r="K26" i="103"/>
  <c r="AD26" i="103" s="1"/>
  <c r="S30" i="103"/>
  <c r="X36" i="103"/>
  <c r="S38" i="103"/>
  <c r="X47" i="103"/>
  <c r="K18" i="103"/>
  <c r="AB18" i="103" s="1"/>
  <c r="AB29" i="103"/>
  <c r="AB34" i="103"/>
  <c r="AD35" i="103"/>
  <c r="AD44" i="103"/>
  <c r="AD48" i="103"/>
  <c r="AD30" i="103"/>
  <c r="AD33" i="103"/>
  <c r="K20" i="103"/>
  <c r="AB20" i="103" s="1"/>
  <c r="K36" i="103"/>
  <c r="K37" i="103"/>
  <c r="AB37" i="103" s="1"/>
  <c r="AB47" i="103"/>
  <c r="AB49" i="103"/>
  <c r="K22" i="103"/>
  <c r="AD22" i="103" s="1"/>
  <c r="X25" i="103"/>
  <c r="AB31" i="103"/>
  <c r="X32" i="103"/>
  <c r="AD49" i="103"/>
  <c r="X26" i="103"/>
  <c r="K39" i="103"/>
  <c r="AD45" i="103"/>
  <c r="AB32" i="103"/>
  <c r="K24" i="103"/>
  <c r="X27" i="103"/>
  <c r="X34" i="103"/>
  <c r="AD43" i="103"/>
  <c r="K50" i="103"/>
  <c r="AD50" i="103" s="1"/>
  <c r="S16" i="103"/>
  <c r="AD16" i="103" s="1"/>
  <c r="R17" i="103"/>
  <c r="S17" i="103" s="1"/>
  <c r="U17" i="103"/>
  <c r="X17" i="103" s="1"/>
  <c r="Z11" i="103"/>
  <c r="AA11" i="103" s="1"/>
  <c r="R11" i="103"/>
  <c r="M10" i="103"/>
  <c r="N10" i="103" s="1"/>
  <c r="R10" i="103"/>
  <c r="S10" i="103" s="1"/>
  <c r="AB10" i="103" s="1"/>
  <c r="X10" i="103"/>
  <c r="R7" i="103"/>
  <c r="U5" i="103"/>
  <c r="AD38" i="103"/>
  <c r="AB48" i="103"/>
  <c r="K7" i="103"/>
  <c r="AB22" i="103"/>
  <c r="AB30" i="103"/>
  <c r="S9" i="103"/>
  <c r="AB25" i="103"/>
  <c r="AD32" i="103"/>
  <c r="AB50" i="103"/>
  <c r="S5" i="103"/>
  <c r="AD24" i="103"/>
  <c r="X5" i="103"/>
  <c r="S6" i="103"/>
  <c r="AB24" i="103"/>
  <c r="AB43" i="103"/>
  <c r="R12" i="103"/>
  <c r="S7" i="103"/>
  <c r="AB33" i="103"/>
  <c r="AD34" i="103"/>
  <c r="AA5" i="103"/>
  <c r="AA12" i="103" s="1"/>
  <c r="Z12" i="103"/>
  <c r="AB26" i="103"/>
  <c r="AD28" i="103"/>
  <c r="AB35" i="103"/>
  <c r="AC10" i="103"/>
  <c r="K16" i="103"/>
  <c r="J40" i="103"/>
  <c r="R41" i="103"/>
  <c r="S41" i="103" s="1"/>
  <c r="F42" i="103"/>
  <c r="Z42" i="103"/>
  <c r="AA42" i="103" s="1"/>
  <c r="D46" i="103"/>
  <c r="J5" i="103"/>
  <c r="F6" i="103"/>
  <c r="R8" i="103"/>
  <c r="S8" i="103" s="1"/>
  <c r="F9" i="103"/>
  <c r="P11" i="103"/>
  <c r="S11" i="103" s="1"/>
  <c r="H42" i="103"/>
  <c r="F46" i="103"/>
  <c r="Z46" i="103"/>
  <c r="AA46" i="103" s="1"/>
  <c r="D11" i="103"/>
  <c r="B12" i="103"/>
  <c r="M40" i="103"/>
  <c r="U41" i="103"/>
  <c r="X41" i="103" s="1"/>
  <c r="H46" i="103"/>
  <c r="H6" i="103"/>
  <c r="D7" i="103"/>
  <c r="W8" i="103"/>
  <c r="X8" i="103" s="1"/>
  <c r="H9" i="103"/>
  <c r="W41" i="103"/>
  <c r="J46" i="103"/>
  <c r="H55" i="103"/>
  <c r="W9" i="103"/>
  <c r="X9" i="103" s="1"/>
  <c r="F11" i="103"/>
  <c r="P40" i="103"/>
  <c r="D41" i="103"/>
  <c r="N5" i="103"/>
  <c r="J6" i="103"/>
  <c r="D8" i="103"/>
  <c r="Z8" i="103"/>
  <c r="AA8" i="103" s="1"/>
  <c r="J9" i="103"/>
  <c r="R40" i="103"/>
  <c r="F41" i="103"/>
  <c r="Z41" i="103"/>
  <c r="AA41" i="103" s="1"/>
  <c r="M46" i="103"/>
  <c r="N46" i="103" s="1"/>
  <c r="B51" i="103"/>
  <c r="W6" i="103"/>
  <c r="X6" i="103" s="1"/>
  <c r="F8" i="103"/>
  <c r="Z9" i="103"/>
  <c r="AA9" i="103" s="1"/>
  <c r="H11" i="103"/>
  <c r="U11" i="103"/>
  <c r="U12" i="103" s="1"/>
  <c r="H41" i="103"/>
  <c r="W46" i="103"/>
  <c r="X46" i="103" s="1"/>
  <c r="H8" i="103"/>
  <c r="U40" i="103"/>
  <c r="J41" i="103"/>
  <c r="R42" i="103"/>
  <c r="S42" i="103" s="1"/>
  <c r="P46" i="103"/>
  <c r="M6" i="103"/>
  <c r="N6" i="103" s="1"/>
  <c r="J8" i="103"/>
  <c r="M9" i="103"/>
  <c r="N9" i="103" s="1"/>
  <c r="J11" i="103"/>
  <c r="W11" i="103"/>
  <c r="W40" i="103"/>
  <c r="R46" i="103"/>
  <c r="D40" i="103"/>
  <c r="F40" i="103"/>
  <c r="I222" i="33"/>
  <c r="D213" i="33"/>
  <c r="I208" i="33"/>
  <c r="B75" i="104" l="1"/>
  <c r="B76" i="104" s="1"/>
  <c r="AF12" i="104"/>
  <c r="Q43" i="78"/>
  <c r="Q44" i="78" s="1"/>
  <c r="S44" i="78" s="1"/>
  <c r="H63" i="103"/>
  <c r="H51" i="103"/>
  <c r="K42" i="103"/>
  <c r="S40" i="103"/>
  <c r="K40" i="103"/>
  <c r="W51" i="103"/>
  <c r="S46" i="103"/>
  <c r="D51" i="103"/>
  <c r="AB39" i="103"/>
  <c r="AB36" i="103"/>
  <c r="S27" i="103"/>
  <c r="K19" i="103"/>
  <c r="AD19" i="103" s="1"/>
  <c r="S23" i="103"/>
  <c r="AD18" i="103"/>
  <c r="AB16" i="103"/>
  <c r="AD20" i="103"/>
  <c r="AD39" i="103"/>
  <c r="AA51" i="103"/>
  <c r="J51" i="103"/>
  <c r="AD37" i="103"/>
  <c r="X40" i="103"/>
  <c r="X51" i="103" s="1"/>
  <c r="K158" i="101" s="1"/>
  <c r="K159" i="101" s="1"/>
  <c r="AB17" i="103"/>
  <c r="AD17" i="103"/>
  <c r="B65" i="103"/>
  <c r="R51" i="103"/>
  <c r="B72" i="103" s="1"/>
  <c r="K11" i="103"/>
  <c r="K9" i="103"/>
  <c r="AB9" i="103" s="1"/>
  <c r="H12" i="103"/>
  <c r="S51" i="103"/>
  <c r="AB42" i="103"/>
  <c r="J12" i="103"/>
  <c r="P51" i="103"/>
  <c r="S12" i="103"/>
  <c r="W12" i="103"/>
  <c r="P12" i="103"/>
  <c r="F12" i="103"/>
  <c r="K46" i="103"/>
  <c r="AB46" i="103" s="1"/>
  <c r="F51" i="103"/>
  <c r="M12" i="103"/>
  <c r="N12" i="103" s="1"/>
  <c r="M51" i="103"/>
  <c r="K150" i="101" s="1"/>
  <c r="K151" i="101" s="1"/>
  <c r="N40" i="103"/>
  <c r="N51" i="103" s="1"/>
  <c r="X11" i="103"/>
  <c r="X12" i="103" s="1"/>
  <c r="K41" i="103"/>
  <c r="AB41" i="103" s="1"/>
  <c r="AB7" i="103"/>
  <c r="AD40" i="103"/>
  <c r="AD42" i="103"/>
  <c r="K8" i="103"/>
  <c r="AB8" i="103" s="1"/>
  <c r="K5" i="103"/>
  <c r="Z51" i="103"/>
  <c r="U51" i="103"/>
  <c r="K6" i="103"/>
  <c r="AB6" i="103" s="1"/>
  <c r="D12" i="103"/>
  <c r="I213" i="33"/>
  <c r="I223" i="33" s="1"/>
  <c r="I228" i="33" s="1"/>
  <c r="S43" i="78" l="1"/>
  <c r="AD27" i="103"/>
  <c r="AB27" i="103"/>
  <c r="AB19" i="103"/>
  <c r="AD23" i="103"/>
  <c r="AB23" i="103"/>
  <c r="K51" i="103"/>
  <c r="K133" i="101" s="1"/>
  <c r="K134" i="101" s="1"/>
  <c r="K136" i="101" s="1"/>
  <c r="AD46" i="103"/>
  <c r="AD41" i="103"/>
  <c r="AD51" i="103" s="1"/>
  <c r="B73" i="103"/>
  <c r="AB51" i="103"/>
  <c r="K12" i="103"/>
  <c r="B69" i="103" s="1"/>
  <c r="AB5" i="103"/>
  <c r="AB40" i="103"/>
  <c r="AB11" i="103"/>
  <c r="B70" i="103"/>
  <c r="B68" i="103"/>
  <c r="B71" i="103"/>
  <c r="B75" i="103" l="1"/>
  <c r="B76" i="103" s="1"/>
  <c r="AB12" i="103"/>
  <c r="M17" i="102" l="1"/>
  <c r="M18" i="102"/>
  <c r="M19" i="102"/>
  <c r="M20" i="102"/>
  <c r="M21" i="102"/>
  <c r="M22" i="102"/>
  <c r="M23" i="102"/>
  <c r="M24" i="102"/>
  <c r="M25" i="102"/>
  <c r="M26" i="102"/>
  <c r="M27" i="102"/>
  <c r="M28" i="102"/>
  <c r="N28" i="102" s="1"/>
  <c r="M29" i="102"/>
  <c r="M30" i="102"/>
  <c r="M31" i="102"/>
  <c r="M32" i="102"/>
  <c r="M33" i="102"/>
  <c r="M34" i="102"/>
  <c r="M35" i="102"/>
  <c r="M36" i="102"/>
  <c r="M37" i="102"/>
  <c r="M38" i="102"/>
  <c r="M39" i="102"/>
  <c r="M40" i="102"/>
  <c r="N40" i="102" s="1"/>
  <c r="M41" i="102"/>
  <c r="M42" i="102"/>
  <c r="M43" i="102"/>
  <c r="M44" i="102"/>
  <c r="M45" i="102"/>
  <c r="M46" i="102"/>
  <c r="M47" i="102"/>
  <c r="M48" i="102"/>
  <c r="M49" i="102"/>
  <c r="M50" i="102"/>
  <c r="P17" i="102"/>
  <c r="P18" i="102"/>
  <c r="P19" i="102"/>
  <c r="P20" i="102"/>
  <c r="P21" i="102"/>
  <c r="P22" i="102"/>
  <c r="P23" i="102"/>
  <c r="P24" i="102"/>
  <c r="P25" i="102"/>
  <c r="S25" i="102" s="1"/>
  <c r="P26" i="102"/>
  <c r="S26" i="102" s="1"/>
  <c r="P27" i="102"/>
  <c r="P28" i="102"/>
  <c r="P29" i="102"/>
  <c r="P30" i="102"/>
  <c r="P31" i="102"/>
  <c r="P32" i="102"/>
  <c r="P33" i="102"/>
  <c r="P34" i="102"/>
  <c r="P35" i="102"/>
  <c r="P36" i="102"/>
  <c r="P37" i="102"/>
  <c r="P38" i="102"/>
  <c r="S38" i="102" s="1"/>
  <c r="P39" i="102"/>
  <c r="P40" i="102"/>
  <c r="P41" i="102"/>
  <c r="P42" i="102"/>
  <c r="P43" i="102"/>
  <c r="P44" i="102"/>
  <c r="P45" i="102"/>
  <c r="P46" i="102"/>
  <c r="P47" i="102"/>
  <c r="P48" i="102"/>
  <c r="P49" i="102"/>
  <c r="S49" i="102" s="1"/>
  <c r="P50" i="102"/>
  <c r="S50" i="102" s="1"/>
  <c r="R17" i="102"/>
  <c r="R18" i="102"/>
  <c r="R19" i="102"/>
  <c r="R20" i="102"/>
  <c r="R21" i="102"/>
  <c r="R22" i="102"/>
  <c r="R23" i="102"/>
  <c r="S23" i="102" s="1"/>
  <c r="R24" i="102"/>
  <c r="S24" i="102" s="1"/>
  <c r="R25" i="102"/>
  <c r="R26" i="102"/>
  <c r="R27" i="102"/>
  <c r="R28" i="102"/>
  <c r="S28" i="102" s="1"/>
  <c r="R29" i="102"/>
  <c r="R30" i="102"/>
  <c r="R31" i="102"/>
  <c r="R32" i="102"/>
  <c r="R33" i="102"/>
  <c r="R34" i="102"/>
  <c r="R35" i="102"/>
  <c r="S35" i="102" s="1"/>
  <c r="R36" i="102"/>
  <c r="S36" i="102" s="1"/>
  <c r="R37" i="102"/>
  <c r="R38" i="102"/>
  <c r="R39" i="102"/>
  <c r="S39" i="102" s="1"/>
  <c r="R40" i="102"/>
  <c r="S40" i="102" s="1"/>
  <c r="R41" i="102"/>
  <c r="R42" i="102"/>
  <c r="R43" i="102"/>
  <c r="R44" i="102"/>
  <c r="R45" i="102"/>
  <c r="R46" i="102"/>
  <c r="R47" i="102"/>
  <c r="S47" i="102" s="1"/>
  <c r="R48" i="102"/>
  <c r="S48" i="102" s="1"/>
  <c r="R49" i="102"/>
  <c r="R50" i="102"/>
  <c r="S17" i="102"/>
  <c r="S18" i="102"/>
  <c r="S19" i="102"/>
  <c r="S20" i="102"/>
  <c r="S21" i="102"/>
  <c r="S22" i="102"/>
  <c r="S27" i="102"/>
  <c r="S29" i="102"/>
  <c r="S30" i="102"/>
  <c r="S31" i="102"/>
  <c r="S32" i="102"/>
  <c r="S33" i="102"/>
  <c r="S34" i="102"/>
  <c r="S37" i="102"/>
  <c r="S41" i="102"/>
  <c r="S42" i="102"/>
  <c r="S43" i="102"/>
  <c r="S44" i="102"/>
  <c r="S45" i="102"/>
  <c r="S46" i="102"/>
  <c r="N17" i="102"/>
  <c r="N18" i="102"/>
  <c r="N19" i="102"/>
  <c r="N20" i="102"/>
  <c r="N21" i="102"/>
  <c r="N22" i="102"/>
  <c r="N23" i="102"/>
  <c r="N24" i="102"/>
  <c r="N25" i="102"/>
  <c r="N26" i="102"/>
  <c r="N27" i="102"/>
  <c r="N29" i="102"/>
  <c r="N30" i="102"/>
  <c r="N31" i="102"/>
  <c r="N32" i="102"/>
  <c r="N33" i="102"/>
  <c r="N34" i="102"/>
  <c r="N35" i="102"/>
  <c r="N36" i="102"/>
  <c r="N37" i="102"/>
  <c r="N38" i="102"/>
  <c r="N39" i="102"/>
  <c r="N41" i="102"/>
  <c r="N42" i="102"/>
  <c r="N43" i="102"/>
  <c r="N44" i="102"/>
  <c r="N45" i="102"/>
  <c r="N46" i="102"/>
  <c r="N47" i="102"/>
  <c r="N48" i="102"/>
  <c r="N49" i="102"/>
  <c r="N50" i="102"/>
  <c r="B40" i="102"/>
  <c r="B41" i="102"/>
  <c r="J132" i="101"/>
  <c r="K25" i="78"/>
  <c r="K6" i="78"/>
  <c r="K27" i="78"/>
  <c r="K8" i="78"/>
  <c r="K28" i="78"/>
  <c r="K9" i="78"/>
  <c r="K26" i="78"/>
  <c r="K7" i="78"/>
  <c r="K24" i="78"/>
  <c r="K5" i="78"/>
  <c r="J161" i="101"/>
  <c r="J156" i="101"/>
  <c r="J159" i="101" s="1"/>
  <c r="J149" i="101"/>
  <c r="J131" i="101"/>
  <c r="J125" i="101"/>
  <c r="J89" i="101"/>
  <c r="J120" i="101" s="1"/>
  <c r="J48" i="101"/>
  <c r="J84" i="101" s="1"/>
  <c r="B42" i="102"/>
  <c r="H42" i="102" s="1"/>
  <c r="B46" i="102"/>
  <c r="Z37" i="102"/>
  <c r="AA37" i="102" s="1"/>
  <c r="AC37" i="102"/>
  <c r="W37" i="102"/>
  <c r="U37" i="102"/>
  <c r="J37" i="102"/>
  <c r="H37" i="102"/>
  <c r="F37" i="102"/>
  <c r="D37" i="102"/>
  <c r="B11" i="102"/>
  <c r="B10" i="102"/>
  <c r="B9" i="102"/>
  <c r="B8" i="102"/>
  <c r="W8" i="102" s="1"/>
  <c r="X8" i="102" s="1"/>
  <c r="B7" i="102"/>
  <c r="B6" i="102"/>
  <c r="B5" i="102"/>
  <c r="D202" i="33"/>
  <c r="D201" i="33"/>
  <c r="D200" i="33"/>
  <c r="E196" i="33"/>
  <c r="I195" i="33"/>
  <c r="H195" i="33"/>
  <c r="G195" i="33"/>
  <c r="E195" i="33"/>
  <c r="D195" i="33"/>
  <c r="H194" i="33"/>
  <c r="G194" i="33"/>
  <c r="E194" i="33"/>
  <c r="D194" i="33"/>
  <c r="I194" i="33" s="1"/>
  <c r="I193" i="33"/>
  <c r="H193" i="33"/>
  <c r="G193" i="33"/>
  <c r="E193" i="33"/>
  <c r="D193" i="33"/>
  <c r="I192" i="33"/>
  <c r="I196" i="33" s="1"/>
  <c r="H192" i="33"/>
  <c r="H196" i="33" s="1"/>
  <c r="G192" i="33"/>
  <c r="G196" i="33" s="1"/>
  <c r="E192" i="33"/>
  <c r="D192" i="33"/>
  <c r="D196" i="33" s="1"/>
  <c r="G187" i="33"/>
  <c r="D187" i="33"/>
  <c r="C187" i="33"/>
  <c r="B187" i="33"/>
  <c r="I186" i="33"/>
  <c r="E186" i="33"/>
  <c r="D186" i="33"/>
  <c r="H185" i="33"/>
  <c r="G185" i="33"/>
  <c r="E185" i="33"/>
  <c r="D185" i="33"/>
  <c r="I185" i="33" s="1"/>
  <c r="I184" i="33"/>
  <c r="H184" i="33"/>
  <c r="G184" i="33"/>
  <c r="E184" i="33"/>
  <c r="D184" i="33"/>
  <c r="H183" i="33"/>
  <c r="G183" i="33"/>
  <c r="E183" i="33"/>
  <c r="D183" i="33"/>
  <c r="I183" i="33" s="1"/>
  <c r="I182" i="33"/>
  <c r="H182" i="33"/>
  <c r="H187" i="33" s="1"/>
  <c r="G182" i="33"/>
  <c r="E182" i="33"/>
  <c r="E187" i="33" s="1"/>
  <c r="D182" i="33"/>
  <c r="G63" i="102"/>
  <c r="G62" i="102"/>
  <c r="F62" i="102"/>
  <c r="G61" i="102"/>
  <c r="F61" i="102"/>
  <c r="D61" i="102"/>
  <c r="G60" i="102"/>
  <c r="F60" i="102"/>
  <c r="D60" i="102"/>
  <c r="G59" i="102"/>
  <c r="F59" i="102"/>
  <c r="D59" i="102"/>
  <c r="G58" i="102"/>
  <c r="F58" i="102"/>
  <c r="D58" i="102"/>
  <c r="G57" i="102"/>
  <c r="F57" i="102"/>
  <c r="D57" i="102"/>
  <c r="G56" i="102"/>
  <c r="F56" i="102"/>
  <c r="D56" i="102"/>
  <c r="H56" i="102" s="1"/>
  <c r="G55" i="102"/>
  <c r="F55" i="102"/>
  <c r="D55" i="102"/>
  <c r="AC51" i="102"/>
  <c r="AC50" i="102"/>
  <c r="Z50" i="102"/>
  <c r="AA50" i="102" s="1"/>
  <c r="W50" i="102"/>
  <c r="U50" i="102"/>
  <c r="J50" i="102"/>
  <c r="H50" i="102"/>
  <c r="F50" i="102"/>
  <c r="D50" i="102"/>
  <c r="AC49" i="102"/>
  <c r="Z49" i="102"/>
  <c r="AA49" i="102" s="1"/>
  <c r="W49" i="102"/>
  <c r="U49" i="102"/>
  <c r="J49" i="102"/>
  <c r="H49" i="102"/>
  <c r="F49" i="102"/>
  <c r="D49" i="102"/>
  <c r="AC48" i="102"/>
  <c r="Z48" i="102"/>
  <c r="AA48" i="102" s="1"/>
  <c r="X48" i="102"/>
  <c r="W48" i="102"/>
  <c r="J48" i="102"/>
  <c r="H48" i="102"/>
  <c r="F48" i="102"/>
  <c r="D48" i="102"/>
  <c r="AC47" i="102"/>
  <c r="Z47" i="102"/>
  <c r="AA47" i="102" s="1"/>
  <c r="W47" i="102"/>
  <c r="U47" i="102"/>
  <c r="J47" i="102"/>
  <c r="H47" i="102"/>
  <c r="F47" i="102"/>
  <c r="D47" i="102"/>
  <c r="AC46" i="102"/>
  <c r="AC45" i="102"/>
  <c r="Z45" i="102"/>
  <c r="AA45" i="102" s="1"/>
  <c r="W45" i="102"/>
  <c r="U45" i="102"/>
  <c r="J45" i="102"/>
  <c r="H45" i="102"/>
  <c r="F45" i="102"/>
  <c r="D45" i="102"/>
  <c r="AC44" i="102"/>
  <c r="Z44" i="102"/>
  <c r="AA44" i="102" s="1"/>
  <c r="W44" i="102"/>
  <c r="U44" i="102"/>
  <c r="J44" i="102"/>
  <c r="H44" i="102"/>
  <c r="F44" i="102"/>
  <c r="D44" i="102"/>
  <c r="AC43" i="102"/>
  <c r="Z43" i="102"/>
  <c r="AA43" i="102" s="1"/>
  <c r="W43" i="102"/>
  <c r="U43" i="102"/>
  <c r="J43" i="102"/>
  <c r="H43" i="102"/>
  <c r="F43" i="102"/>
  <c r="D43" i="102"/>
  <c r="AC42" i="102"/>
  <c r="Z42" i="102"/>
  <c r="AA42" i="102" s="1"/>
  <c r="U42" i="102"/>
  <c r="AC41" i="102"/>
  <c r="Z41" i="102"/>
  <c r="AA41" i="102" s="1"/>
  <c r="W41" i="102"/>
  <c r="U41" i="102"/>
  <c r="J41" i="102"/>
  <c r="H41" i="102"/>
  <c r="F41" i="102"/>
  <c r="D41" i="102"/>
  <c r="AC40" i="102"/>
  <c r="U40" i="102"/>
  <c r="D40" i="102"/>
  <c r="AC39" i="102"/>
  <c r="Z39" i="102"/>
  <c r="AA39" i="102" s="1"/>
  <c r="W39" i="102"/>
  <c r="U39" i="102"/>
  <c r="J39" i="102"/>
  <c r="H39" i="102"/>
  <c r="F39" i="102"/>
  <c r="D39" i="102"/>
  <c r="AC38" i="102"/>
  <c r="Z38" i="102"/>
  <c r="AA38" i="102" s="1"/>
  <c r="W38" i="102"/>
  <c r="U38" i="102"/>
  <c r="J38" i="102"/>
  <c r="H38" i="102"/>
  <c r="F38" i="102"/>
  <c r="D38" i="102"/>
  <c r="AC36" i="102"/>
  <c r="J36" i="102"/>
  <c r="H36" i="102"/>
  <c r="AC35" i="102"/>
  <c r="Z35" i="102"/>
  <c r="AA35" i="102" s="1"/>
  <c r="W35" i="102"/>
  <c r="U35" i="102"/>
  <c r="J35" i="102"/>
  <c r="H35" i="102"/>
  <c r="F35" i="102"/>
  <c r="D35" i="102"/>
  <c r="AC34" i="102"/>
  <c r="Z34" i="102"/>
  <c r="AA34" i="102" s="1"/>
  <c r="W34" i="102"/>
  <c r="U34" i="102"/>
  <c r="J34" i="102"/>
  <c r="H34" i="102"/>
  <c r="F34" i="102"/>
  <c r="D34" i="102"/>
  <c r="AC33" i="102"/>
  <c r="Z33" i="102"/>
  <c r="AA33" i="102" s="1"/>
  <c r="W33" i="102"/>
  <c r="U33" i="102"/>
  <c r="J33" i="102"/>
  <c r="H33" i="102"/>
  <c r="F33" i="102"/>
  <c r="D33" i="102"/>
  <c r="AC32" i="102"/>
  <c r="Z32" i="102"/>
  <c r="AA32" i="102" s="1"/>
  <c r="W32" i="102"/>
  <c r="U32" i="102"/>
  <c r="J32" i="102"/>
  <c r="H32" i="102"/>
  <c r="F32" i="102"/>
  <c r="D32" i="102"/>
  <c r="AC31" i="102"/>
  <c r="Z31" i="102"/>
  <c r="AA31" i="102" s="1"/>
  <c r="W31" i="102"/>
  <c r="U31" i="102"/>
  <c r="J31" i="102"/>
  <c r="H31" i="102"/>
  <c r="F31" i="102"/>
  <c r="D31" i="102"/>
  <c r="AC30" i="102"/>
  <c r="Z30" i="102"/>
  <c r="AA30" i="102" s="1"/>
  <c r="W30" i="102"/>
  <c r="U30" i="102"/>
  <c r="J30" i="102"/>
  <c r="H30" i="102"/>
  <c r="F30" i="102"/>
  <c r="D30" i="102"/>
  <c r="AC29" i="102"/>
  <c r="Z29" i="102"/>
  <c r="AA29" i="102" s="1"/>
  <c r="W29" i="102"/>
  <c r="U29" i="102"/>
  <c r="J29" i="102"/>
  <c r="H29" i="102"/>
  <c r="F29" i="102"/>
  <c r="D29" i="102"/>
  <c r="AC28" i="102"/>
  <c r="Z28" i="102"/>
  <c r="AA28" i="102" s="1"/>
  <c r="W28" i="102"/>
  <c r="U28" i="102"/>
  <c r="J28" i="102"/>
  <c r="H28" i="102"/>
  <c r="F28" i="102"/>
  <c r="D28" i="102"/>
  <c r="AC27" i="102"/>
  <c r="Z27" i="102"/>
  <c r="AA27" i="102" s="1"/>
  <c r="U27" i="102"/>
  <c r="H27" i="102"/>
  <c r="F27" i="102"/>
  <c r="D27" i="102"/>
  <c r="W27" i="102"/>
  <c r="AC26" i="102"/>
  <c r="Z26" i="102"/>
  <c r="AA26" i="102" s="1"/>
  <c r="W26" i="102"/>
  <c r="U26" i="102"/>
  <c r="J26" i="102"/>
  <c r="H26" i="102"/>
  <c r="F26" i="102"/>
  <c r="D26" i="102"/>
  <c r="AC25" i="102"/>
  <c r="Z25" i="102"/>
  <c r="AA25" i="102" s="1"/>
  <c r="W25" i="102"/>
  <c r="U25" i="102"/>
  <c r="J25" i="102"/>
  <c r="H25" i="102"/>
  <c r="F25" i="102"/>
  <c r="D25" i="102"/>
  <c r="AC24" i="102"/>
  <c r="Z24" i="102"/>
  <c r="AA24" i="102" s="1"/>
  <c r="J24" i="102"/>
  <c r="H24" i="102"/>
  <c r="F24" i="102"/>
  <c r="B51" i="102"/>
  <c r="AC23" i="102"/>
  <c r="Z23" i="102"/>
  <c r="AA23" i="102" s="1"/>
  <c r="W23" i="102"/>
  <c r="U23" i="102"/>
  <c r="J23" i="102"/>
  <c r="H23" i="102"/>
  <c r="F23" i="102"/>
  <c r="D23" i="102"/>
  <c r="AC22" i="102"/>
  <c r="Z22" i="102"/>
  <c r="AA22" i="102" s="1"/>
  <c r="W22" i="102"/>
  <c r="U22" i="102"/>
  <c r="J22" i="102"/>
  <c r="H22" i="102"/>
  <c r="F22" i="102"/>
  <c r="D22" i="102"/>
  <c r="AC21" i="102"/>
  <c r="Z21" i="102"/>
  <c r="AA21" i="102" s="1"/>
  <c r="W21" i="102"/>
  <c r="U21" i="102"/>
  <c r="J21" i="102"/>
  <c r="H21" i="102"/>
  <c r="F21" i="102"/>
  <c r="D21" i="102"/>
  <c r="AC20" i="102"/>
  <c r="Z20" i="102"/>
  <c r="AA20" i="102" s="1"/>
  <c r="W20" i="102"/>
  <c r="U20" i="102"/>
  <c r="J20" i="102"/>
  <c r="H20" i="102"/>
  <c r="F20" i="102"/>
  <c r="D20" i="102"/>
  <c r="AC19" i="102"/>
  <c r="Z19" i="102"/>
  <c r="AA19" i="102" s="1"/>
  <c r="W19" i="102"/>
  <c r="U19" i="102"/>
  <c r="J19" i="102"/>
  <c r="H19" i="102"/>
  <c r="F19" i="102"/>
  <c r="D19" i="102"/>
  <c r="AC18" i="102"/>
  <c r="Z18" i="102"/>
  <c r="AA18" i="102" s="1"/>
  <c r="W18" i="102"/>
  <c r="U18" i="102"/>
  <c r="J18" i="102"/>
  <c r="H18" i="102"/>
  <c r="F18" i="102"/>
  <c r="D18" i="102"/>
  <c r="AC17" i="102"/>
  <c r="Z17" i="102"/>
  <c r="AA17" i="102" s="1"/>
  <c r="W17" i="102"/>
  <c r="U17" i="102"/>
  <c r="J17" i="102"/>
  <c r="H17" i="102"/>
  <c r="F17" i="102"/>
  <c r="D17" i="102"/>
  <c r="AC16" i="102"/>
  <c r="Z16" i="102"/>
  <c r="AA16" i="102" s="1"/>
  <c r="W16" i="102"/>
  <c r="U16" i="102"/>
  <c r="R16" i="102"/>
  <c r="P16" i="102"/>
  <c r="M16" i="102"/>
  <c r="N16" i="102" s="1"/>
  <c r="J16" i="102"/>
  <c r="H16" i="102"/>
  <c r="F16" i="102"/>
  <c r="D16" i="102"/>
  <c r="AC12" i="102"/>
  <c r="V11" i="102"/>
  <c r="T11" i="102"/>
  <c r="Q11" i="102"/>
  <c r="R11" i="102" s="1"/>
  <c r="L11" i="102"/>
  <c r="M11" i="102" s="1"/>
  <c r="N11" i="102" s="1"/>
  <c r="I11" i="102"/>
  <c r="G11" i="102"/>
  <c r="H11" i="102" s="1"/>
  <c r="E11" i="102"/>
  <c r="C11" i="102"/>
  <c r="V10" i="102"/>
  <c r="T10" i="102"/>
  <c r="Q10" i="102"/>
  <c r="L10" i="102"/>
  <c r="I10" i="102"/>
  <c r="G10" i="102"/>
  <c r="E10" i="102"/>
  <c r="F10" i="102" s="1"/>
  <c r="C10" i="102"/>
  <c r="V9" i="102"/>
  <c r="W9" i="102" s="1"/>
  <c r="X9" i="102" s="1"/>
  <c r="T9" i="102"/>
  <c r="Q9" i="102"/>
  <c r="L9" i="102"/>
  <c r="M9" i="102" s="1"/>
  <c r="N9" i="102" s="1"/>
  <c r="I9" i="102"/>
  <c r="J9" i="102" s="1"/>
  <c r="G9" i="102"/>
  <c r="H9" i="102" s="1"/>
  <c r="E9" i="102"/>
  <c r="F9" i="102" s="1"/>
  <c r="C9" i="102"/>
  <c r="D9" i="102" s="1"/>
  <c r="AC8" i="102"/>
  <c r="Y7" i="102"/>
  <c r="V7" i="102"/>
  <c r="T7" i="102"/>
  <c r="Q7" i="102"/>
  <c r="O7" i="102"/>
  <c r="L7" i="102"/>
  <c r="I7" i="102"/>
  <c r="G7" i="102"/>
  <c r="E7" i="102"/>
  <c r="C7" i="102"/>
  <c r="Y6" i="102"/>
  <c r="V6" i="102"/>
  <c r="T6" i="102"/>
  <c r="Q6" i="102"/>
  <c r="O6" i="102"/>
  <c r="L6" i="102"/>
  <c r="I6" i="102"/>
  <c r="G6" i="102"/>
  <c r="E6" i="102"/>
  <c r="C6" i="102"/>
  <c r="Y5" i="102"/>
  <c r="V5" i="102"/>
  <c r="T5" i="102"/>
  <c r="Q5" i="102"/>
  <c r="O5" i="102"/>
  <c r="L5" i="102"/>
  <c r="I5" i="102"/>
  <c r="G5" i="102"/>
  <c r="E5" i="102"/>
  <c r="C5" i="102"/>
  <c r="I34" i="78"/>
  <c r="H34" i="78"/>
  <c r="G34" i="78"/>
  <c r="J34" i="78"/>
  <c r="J33" i="78"/>
  <c r="J14" i="78"/>
  <c r="J25" i="78"/>
  <c r="J6" i="78"/>
  <c r="J27" i="78"/>
  <c r="J8" i="78"/>
  <c r="J28" i="78"/>
  <c r="J9" i="78"/>
  <c r="J26" i="78"/>
  <c r="J7" i="78"/>
  <c r="J24" i="78"/>
  <c r="J5" i="78"/>
  <c r="G166" i="101"/>
  <c r="G168" i="101" l="1"/>
  <c r="O125" i="101"/>
  <c r="J128" i="101"/>
  <c r="M5" i="102"/>
  <c r="W6" i="102"/>
  <c r="Z5" i="102"/>
  <c r="X41" i="102"/>
  <c r="H61" i="102"/>
  <c r="K37" i="102"/>
  <c r="K30" i="102"/>
  <c r="K17" i="102"/>
  <c r="R9" i="102"/>
  <c r="X30" i="102"/>
  <c r="AD17" i="102"/>
  <c r="X28" i="102"/>
  <c r="K34" i="102"/>
  <c r="K32" i="102"/>
  <c r="H6" i="102"/>
  <c r="R6" i="102"/>
  <c r="S6" i="102" s="1"/>
  <c r="X23" i="102"/>
  <c r="X32" i="102"/>
  <c r="X34" i="102"/>
  <c r="H58" i="102"/>
  <c r="F8" i="102"/>
  <c r="J6" i="102"/>
  <c r="W5" i="102"/>
  <c r="Z6" i="102"/>
  <c r="AA6" i="102" s="1"/>
  <c r="Z9" i="102"/>
  <c r="AA9" i="102" s="1"/>
  <c r="X20" i="102"/>
  <c r="W42" i="102"/>
  <c r="X42" i="102" s="1"/>
  <c r="X37" i="102"/>
  <c r="AB37" i="102" s="1"/>
  <c r="M6" i="102"/>
  <c r="N6" i="102" s="1"/>
  <c r="P9" i="102"/>
  <c r="S9" i="102" s="1"/>
  <c r="X26" i="102"/>
  <c r="K43" i="102"/>
  <c r="P6" i="102"/>
  <c r="X25" i="102"/>
  <c r="J42" i="102"/>
  <c r="F6" i="102"/>
  <c r="F42" i="102"/>
  <c r="K42" i="102" s="1"/>
  <c r="K50" i="102"/>
  <c r="P5" i="102"/>
  <c r="U6" i="102"/>
  <c r="X6" i="102" s="1"/>
  <c r="X49" i="102"/>
  <c r="D42" i="102"/>
  <c r="K41" i="102"/>
  <c r="X44" i="102"/>
  <c r="X38" i="102"/>
  <c r="AD37" i="102"/>
  <c r="AC11" i="102"/>
  <c r="K28" i="102"/>
  <c r="K45" i="102"/>
  <c r="X19" i="102"/>
  <c r="X21" i="102"/>
  <c r="X22" i="102"/>
  <c r="K44" i="102"/>
  <c r="AC5" i="102"/>
  <c r="AC6" i="102"/>
  <c r="AC7" i="102"/>
  <c r="AC10" i="102"/>
  <c r="K49" i="102"/>
  <c r="H55" i="102"/>
  <c r="X17" i="102"/>
  <c r="X35" i="102"/>
  <c r="K47" i="102"/>
  <c r="K48" i="102"/>
  <c r="H59" i="102"/>
  <c r="M7" i="102"/>
  <c r="N7" i="102" s="1"/>
  <c r="K23" i="102"/>
  <c r="AD23" i="102" s="1"/>
  <c r="X45" i="102"/>
  <c r="H60" i="102"/>
  <c r="K19" i="102"/>
  <c r="K21" i="102"/>
  <c r="D10" i="102"/>
  <c r="K20" i="102"/>
  <c r="K22" i="102"/>
  <c r="X43" i="102"/>
  <c r="X50" i="102"/>
  <c r="H57" i="102"/>
  <c r="D11" i="102"/>
  <c r="X27" i="102"/>
  <c r="K18" i="102"/>
  <c r="K16" i="102"/>
  <c r="AB50" i="102"/>
  <c r="K26" i="102"/>
  <c r="K29" i="102"/>
  <c r="K25" i="102"/>
  <c r="X33" i="102"/>
  <c r="X47" i="102"/>
  <c r="AD21" i="102"/>
  <c r="K24" i="102"/>
  <c r="K31" i="102"/>
  <c r="AD31" i="102" s="1"/>
  <c r="K38" i="102"/>
  <c r="K39" i="102"/>
  <c r="K33" i="102"/>
  <c r="X29" i="102"/>
  <c r="K35" i="102"/>
  <c r="X18" i="102"/>
  <c r="X31" i="102"/>
  <c r="X39" i="102"/>
  <c r="U11" i="102"/>
  <c r="W11" i="102"/>
  <c r="P11" i="102"/>
  <c r="S11" i="102" s="1"/>
  <c r="J10" i="102"/>
  <c r="M10" i="102"/>
  <c r="N10" i="102" s="1"/>
  <c r="R10" i="102"/>
  <c r="W10" i="102"/>
  <c r="P7" i="102"/>
  <c r="W7" i="102"/>
  <c r="X7" i="102" s="1"/>
  <c r="R7" i="102"/>
  <c r="Z7" i="102"/>
  <c r="AA7" i="102" s="1"/>
  <c r="D7" i="102"/>
  <c r="F7" i="102"/>
  <c r="I187" i="33"/>
  <c r="I197" i="33" s="1"/>
  <c r="I202" i="33" s="1"/>
  <c r="K9" i="102"/>
  <c r="AB47" i="102"/>
  <c r="AA5" i="102"/>
  <c r="F63" i="102"/>
  <c r="H10" i="102"/>
  <c r="U10" i="102"/>
  <c r="F11" i="102"/>
  <c r="B63" i="102"/>
  <c r="B74" i="102" s="1"/>
  <c r="N5" i="102"/>
  <c r="D8" i="102"/>
  <c r="Z8" i="102"/>
  <c r="AA8" i="102" s="1"/>
  <c r="S16" i="102"/>
  <c r="W40" i="102"/>
  <c r="X40" i="102" s="1"/>
  <c r="U46" i="102"/>
  <c r="W46" i="102"/>
  <c r="D5" i="102"/>
  <c r="H7" i="102"/>
  <c r="H8" i="102"/>
  <c r="U24" i="102"/>
  <c r="J27" i="102"/>
  <c r="K27" i="102" s="1"/>
  <c r="R51" i="102"/>
  <c r="F40" i="102"/>
  <c r="Z40" i="102"/>
  <c r="AA40" i="102" s="1"/>
  <c r="D46" i="102"/>
  <c r="J8" i="102"/>
  <c r="Z10" i="102"/>
  <c r="AA10" i="102" s="1"/>
  <c r="J11" i="102"/>
  <c r="X16" i="102"/>
  <c r="W24" i="102"/>
  <c r="H40" i="102"/>
  <c r="H51" i="102" s="1"/>
  <c r="F46" i="102"/>
  <c r="Z46" i="102"/>
  <c r="AA46" i="102" s="1"/>
  <c r="F5" i="102"/>
  <c r="R5" i="102"/>
  <c r="J7" i="102"/>
  <c r="AC9" i="102"/>
  <c r="D24" i="102"/>
  <c r="U36" i="102"/>
  <c r="J40" i="102"/>
  <c r="H46" i="102"/>
  <c r="M8" i="102"/>
  <c r="N8" i="102" s="1"/>
  <c r="Z11" i="102"/>
  <c r="AA11" i="102" s="1"/>
  <c r="W36" i="102"/>
  <c r="J46" i="102"/>
  <c r="H5" i="102"/>
  <c r="D6" i="102"/>
  <c r="P10" i="102"/>
  <c r="D36" i="102"/>
  <c r="P8" i="102"/>
  <c r="F36" i="102"/>
  <c r="K36" i="102" s="1"/>
  <c r="Z36" i="102"/>
  <c r="AA36" i="102" s="1"/>
  <c r="D62" i="102"/>
  <c r="H62" i="102" s="1"/>
  <c r="U5" i="102"/>
  <c r="J5" i="102"/>
  <c r="R8" i="102"/>
  <c r="B12" i="102"/>
  <c r="AA50" i="100"/>
  <c r="AA17" i="100"/>
  <c r="AA18" i="100"/>
  <c r="AA19" i="100"/>
  <c r="AA20" i="100"/>
  <c r="AA21" i="100"/>
  <c r="AA22" i="100"/>
  <c r="AA23" i="100"/>
  <c r="AA24" i="100"/>
  <c r="AA25" i="100"/>
  <c r="AA26" i="100"/>
  <c r="AA27" i="100"/>
  <c r="AA28" i="100"/>
  <c r="AA29" i="100"/>
  <c r="AA30" i="100"/>
  <c r="AA31" i="100"/>
  <c r="AA32" i="100"/>
  <c r="AA33" i="100"/>
  <c r="AA34" i="100"/>
  <c r="AA35" i="100"/>
  <c r="AA36" i="100"/>
  <c r="AA37" i="100"/>
  <c r="AB37" i="100" s="1"/>
  <c r="AA38" i="100"/>
  <c r="AA39" i="100"/>
  <c r="AA40" i="100"/>
  <c r="AA41" i="100"/>
  <c r="AA42" i="100"/>
  <c r="AA43" i="100"/>
  <c r="AA44" i="100"/>
  <c r="AA45" i="100"/>
  <c r="AA46" i="100"/>
  <c r="AA47" i="100"/>
  <c r="AA48" i="100"/>
  <c r="AA49" i="100"/>
  <c r="AB49" i="100" s="1"/>
  <c r="AA16" i="100"/>
  <c r="AA12" i="100"/>
  <c r="AA6" i="100"/>
  <c r="AA7" i="100"/>
  <c r="AA8" i="100"/>
  <c r="AA9" i="100"/>
  <c r="AA10" i="100"/>
  <c r="AA11" i="100"/>
  <c r="AA5" i="100"/>
  <c r="X50" i="100"/>
  <c r="X17" i="100"/>
  <c r="X18" i="100"/>
  <c r="X19" i="100"/>
  <c r="X20" i="100"/>
  <c r="X21" i="100"/>
  <c r="X22" i="100"/>
  <c r="X23" i="100"/>
  <c r="X24" i="100"/>
  <c r="X25" i="100"/>
  <c r="X26" i="100"/>
  <c r="X27" i="100"/>
  <c r="X28" i="100"/>
  <c r="X29" i="100"/>
  <c r="X30" i="100"/>
  <c r="AB30" i="100" s="1"/>
  <c r="X31" i="100"/>
  <c r="X32" i="100"/>
  <c r="X33" i="100"/>
  <c r="X34" i="100"/>
  <c r="X35" i="100"/>
  <c r="X36" i="100"/>
  <c r="X37" i="100"/>
  <c r="X38" i="100"/>
  <c r="X39" i="100"/>
  <c r="X40" i="100"/>
  <c r="X41" i="100"/>
  <c r="X42" i="100"/>
  <c r="AB42" i="100" s="1"/>
  <c r="X43" i="100"/>
  <c r="X44" i="100"/>
  <c r="X45" i="100"/>
  <c r="X46" i="100"/>
  <c r="X47" i="100"/>
  <c r="X48" i="100"/>
  <c r="X49" i="100"/>
  <c r="X16" i="100"/>
  <c r="X12" i="100"/>
  <c r="X6" i="100"/>
  <c r="X7" i="100"/>
  <c r="X8" i="100"/>
  <c r="X9" i="100"/>
  <c r="X10" i="100"/>
  <c r="X11" i="100"/>
  <c r="X5" i="100"/>
  <c r="S50" i="100"/>
  <c r="S17" i="100"/>
  <c r="S18" i="100"/>
  <c r="S19" i="100"/>
  <c r="S20" i="100"/>
  <c r="S21" i="100"/>
  <c r="S22" i="100"/>
  <c r="S23" i="100"/>
  <c r="S24" i="100"/>
  <c r="S25" i="100"/>
  <c r="S26" i="100"/>
  <c r="S27" i="100"/>
  <c r="S28" i="100"/>
  <c r="S29" i="100"/>
  <c r="S30" i="100"/>
  <c r="S31" i="100"/>
  <c r="S32" i="100"/>
  <c r="S33" i="100"/>
  <c r="S34" i="100"/>
  <c r="S35" i="100"/>
  <c r="S36" i="100"/>
  <c r="S37" i="100"/>
  <c r="S38" i="100"/>
  <c r="S39" i="100"/>
  <c r="S40" i="100"/>
  <c r="S41" i="100"/>
  <c r="S42" i="100"/>
  <c r="S43" i="100"/>
  <c r="S44" i="100"/>
  <c r="S45" i="100"/>
  <c r="S46" i="100"/>
  <c r="S47" i="100"/>
  <c r="S48" i="100"/>
  <c r="S49" i="100"/>
  <c r="S16" i="100"/>
  <c r="S12" i="100"/>
  <c r="I89" i="101" s="1"/>
  <c r="I120" i="101" s="1"/>
  <c r="S6" i="100"/>
  <c r="AB6" i="100" s="1"/>
  <c r="S7" i="100"/>
  <c r="S8" i="100"/>
  <c r="S9" i="100"/>
  <c r="S10" i="100"/>
  <c r="AB10" i="100" s="1"/>
  <c r="S11" i="100"/>
  <c r="S5" i="100"/>
  <c r="N50" i="100"/>
  <c r="N17" i="100"/>
  <c r="N18" i="100"/>
  <c r="N19" i="100"/>
  <c r="N20" i="100"/>
  <c r="N21" i="100"/>
  <c r="N22" i="100"/>
  <c r="N23" i="100"/>
  <c r="N24" i="100"/>
  <c r="N25" i="100"/>
  <c r="N26" i="100"/>
  <c r="N27" i="100"/>
  <c r="N28" i="100"/>
  <c r="N29" i="100"/>
  <c r="N30" i="100"/>
  <c r="N31" i="100"/>
  <c r="N32" i="100"/>
  <c r="N33" i="100"/>
  <c r="N34" i="100"/>
  <c r="N35" i="100"/>
  <c r="N36" i="100"/>
  <c r="N37" i="100"/>
  <c r="N38" i="100"/>
  <c r="N39" i="100"/>
  <c r="N40" i="100"/>
  <c r="N41" i="100"/>
  <c r="N42" i="100"/>
  <c r="N43" i="100"/>
  <c r="N44" i="100"/>
  <c r="N45" i="100"/>
  <c r="N46" i="100"/>
  <c r="N47" i="100"/>
  <c r="N48" i="100"/>
  <c r="N49" i="100"/>
  <c r="N16" i="100"/>
  <c r="N6" i="100"/>
  <c r="N7" i="100"/>
  <c r="N8" i="100"/>
  <c r="N9" i="100"/>
  <c r="N10" i="100"/>
  <c r="N11" i="100"/>
  <c r="N5" i="100"/>
  <c r="K50" i="100"/>
  <c r="I133" i="101" s="1"/>
  <c r="K17" i="100"/>
  <c r="K18" i="100"/>
  <c r="K19" i="100"/>
  <c r="K20" i="100"/>
  <c r="K21" i="100"/>
  <c r="K22" i="100"/>
  <c r="K23" i="100"/>
  <c r="K24" i="100"/>
  <c r="K25" i="100"/>
  <c r="K26" i="100"/>
  <c r="K27" i="100"/>
  <c r="K28" i="100"/>
  <c r="K29" i="100"/>
  <c r="K30" i="100"/>
  <c r="K31" i="100"/>
  <c r="K32" i="100"/>
  <c r="K33" i="100"/>
  <c r="K34" i="100"/>
  <c r="K35" i="100"/>
  <c r="K36" i="100"/>
  <c r="K37" i="100"/>
  <c r="K38" i="100"/>
  <c r="K39" i="100"/>
  <c r="K40" i="100"/>
  <c r="K41" i="100"/>
  <c r="K42" i="100"/>
  <c r="K43" i="100"/>
  <c r="K44" i="100"/>
  <c r="K45" i="100"/>
  <c r="K46" i="100"/>
  <c r="K47" i="100"/>
  <c r="K48" i="100"/>
  <c r="K49" i="100"/>
  <c r="K16" i="100"/>
  <c r="K6" i="100"/>
  <c r="K7" i="100"/>
  <c r="K8" i="100"/>
  <c r="K9" i="100"/>
  <c r="K10" i="100"/>
  <c r="K11" i="100"/>
  <c r="I162" i="101"/>
  <c r="I161" i="101"/>
  <c r="I158" i="101"/>
  <c r="I156" i="101"/>
  <c r="I159" i="101" s="1"/>
  <c r="I149" i="101"/>
  <c r="I151" i="101" s="1"/>
  <c r="I132" i="101"/>
  <c r="I48" i="101"/>
  <c r="I84" i="101" s="1"/>
  <c r="H166" i="101"/>
  <c r="H168" i="101" s="1"/>
  <c r="D162" i="101"/>
  <c r="D158" i="101"/>
  <c r="H162" i="101"/>
  <c r="H161" i="101"/>
  <c r="H158" i="101"/>
  <c r="H156" i="101"/>
  <c r="H150" i="101"/>
  <c r="H149" i="101"/>
  <c r="H151" i="101" s="1"/>
  <c r="H133" i="101"/>
  <c r="H132" i="101"/>
  <c r="H131" i="101"/>
  <c r="G162" i="101"/>
  <c r="G161" i="101"/>
  <c r="G158" i="101"/>
  <c r="G156" i="101"/>
  <c r="G150" i="101"/>
  <c r="G149" i="101"/>
  <c r="G133" i="101"/>
  <c r="G132" i="101"/>
  <c r="G131" i="101"/>
  <c r="G124" i="101"/>
  <c r="E161" i="101"/>
  <c r="F161" i="101"/>
  <c r="F163" i="101" s="1"/>
  <c r="F156" i="101"/>
  <c r="F159" i="101" s="1"/>
  <c r="F150" i="101"/>
  <c r="F149" i="101"/>
  <c r="F151" i="101" s="1"/>
  <c r="F133" i="101"/>
  <c r="F132" i="101"/>
  <c r="F131" i="101"/>
  <c r="F123" i="101"/>
  <c r="F113" i="101"/>
  <c r="F112" i="101"/>
  <c r="F108" i="101"/>
  <c r="F107" i="101"/>
  <c r="F104" i="101"/>
  <c r="F101" i="101"/>
  <c r="F98" i="101"/>
  <c r="F93" i="101"/>
  <c r="F90" i="101"/>
  <c r="D161" i="101"/>
  <c r="D156" i="101"/>
  <c r="D150" i="101"/>
  <c r="D149" i="101"/>
  <c r="D133" i="101"/>
  <c r="D132" i="101"/>
  <c r="D131" i="101"/>
  <c r="D124" i="101"/>
  <c r="D128" i="101" s="1"/>
  <c r="D118" i="101"/>
  <c r="D117" i="101"/>
  <c r="D116" i="101"/>
  <c r="D115" i="101"/>
  <c r="D114" i="101"/>
  <c r="O114" i="101" s="1"/>
  <c r="D113" i="101"/>
  <c r="O113" i="101" s="1"/>
  <c r="D112" i="101"/>
  <c r="D108" i="101"/>
  <c r="D104" i="101"/>
  <c r="D93" i="101"/>
  <c r="D90" i="101"/>
  <c r="C150" i="101"/>
  <c r="C149" i="101"/>
  <c r="C118" i="101"/>
  <c r="C117" i="101"/>
  <c r="O117" i="101" s="1"/>
  <c r="C116" i="101"/>
  <c r="C115" i="101"/>
  <c r="C112" i="101"/>
  <c r="C107" i="101"/>
  <c r="C102" i="101"/>
  <c r="O102" i="101" s="1"/>
  <c r="C101" i="101"/>
  <c r="C100" i="101"/>
  <c r="O100" i="101" s="1"/>
  <c r="C99" i="101"/>
  <c r="O99" i="101" s="1"/>
  <c r="C98" i="101"/>
  <c r="C93" i="101"/>
  <c r="C90" i="101"/>
  <c r="O167" i="101"/>
  <c r="M159" i="101"/>
  <c r="M151" i="101"/>
  <c r="M168" i="101"/>
  <c r="C168" i="101"/>
  <c r="K163" i="101"/>
  <c r="L163" i="101"/>
  <c r="M163" i="101"/>
  <c r="C162" i="101"/>
  <c r="C161" i="101"/>
  <c r="C158" i="101"/>
  <c r="C156" i="101"/>
  <c r="B45" i="100"/>
  <c r="C133" i="101"/>
  <c r="C132" i="101"/>
  <c r="C131" i="101"/>
  <c r="D89" i="101"/>
  <c r="AB17" i="100"/>
  <c r="AB18" i="100"/>
  <c r="AB19" i="100"/>
  <c r="AB20" i="100"/>
  <c r="AB21" i="100"/>
  <c r="AB23" i="100"/>
  <c r="AB24" i="100"/>
  <c r="AB25" i="100"/>
  <c r="AB29" i="100"/>
  <c r="AB31" i="100"/>
  <c r="AB32" i="100"/>
  <c r="AB33" i="100"/>
  <c r="AB34" i="100"/>
  <c r="AB35" i="100"/>
  <c r="AB36" i="100"/>
  <c r="AB41" i="100"/>
  <c r="AB43" i="100"/>
  <c r="AB44" i="100"/>
  <c r="AB47" i="100"/>
  <c r="AB48" i="100"/>
  <c r="AB16" i="100"/>
  <c r="AB7" i="100"/>
  <c r="AB8" i="100"/>
  <c r="AB9" i="100"/>
  <c r="AB11" i="100"/>
  <c r="AB5" i="100"/>
  <c r="AB17" i="99"/>
  <c r="AB18" i="99"/>
  <c r="AB19" i="99"/>
  <c r="AB20" i="99"/>
  <c r="AB21" i="99"/>
  <c r="AB22" i="99"/>
  <c r="AB23" i="99"/>
  <c r="AB24" i="99"/>
  <c r="AB25" i="99"/>
  <c r="AB26" i="99"/>
  <c r="AB27" i="99"/>
  <c r="AB28" i="99"/>
  <c r="AB29" i="99"/>
  <c r="AB30" i="99"/>
  <c r="AB31" i="99"/>
  <c r="AB32" i="99"/>
  <c r="AB33" i="99"/>
  <c r="AB34" i="99"/>
  <c r="AB35" i="99"/>
  <c r="AB36" i="99"/>
  <c r="AB37" i="99"/>
  <c r="AB38" i="99"/>
  <c r="AB39" i="99"/>
  <c r="AB40" i="99"/>
  <c r="AB41" i="99"/>
  <c r="AB42" i="99"/>
  <c r="AB43" i="99"/>
  <c r="AB44" i="99"/>
  <c r="AB45" i="99"/>
  <c r="AB46" i="99"/>
  <c r="AB47" i="99"/>
  <c r="AB48" i="99"/>
  <c r="AB49" i="99"/>
  <c r="AB50" i="99"/>
  <c r="AB16" i="99"/>
  <c r="AB6" i="99"/>
  <c r="AB7" i="99"/>
  <c r="AB8" i="99"/>
  <c r="AB9" i="99"/>
  <c r="AB10" i="99"/>
  <c r="AB11" i="99"/>
  <c r="AB12" i="99"/>
  <c r="AB5" i="99"/>
  <c r="AA17" i="99"/>
  <c r="AA18" i="99"/>
  <c r="AA19" i="99"/>
  <c r="AA20" i="99"/>
  <c r="AA21" i="99"/>
  <c r="AA22" i="99"/>
  <c r="AA23" i="99"/>
  <c r="AA24" i="99"/>
  <c r="AA25" i="99"/>
  <c r="AA26" i="99"/>
  <c r="AA27" i="99"/>
  <c r="AA28" i="99"/>
  <c r="AA29" i="99"/>
  <c r="AA30" i="99"/>
  <c r="AA31" i="99"/>
  <c r="AA32" i="99"/>
  <c r="AA33" i="99"/>
  <c r="AA34" i="99"/>
  <c r="AA35" i="99"/>
  <c r="AA36" i="99"/>
  <c r="AA37" i="99"/>
  <c r="AA38" i="99"/>
  <c r="AA39" i="99"/>
  <c r="AA40" i="99"/>
  <c r="AA41" i="99"/>
  <c r="AA42" i="99"/>
  <c r="AA43" i="99"/>
  <c r="AA44" i="99"/>
  <c r="AA45" i="99"/>
  <c r="AA46" i="99"/>
  <c r="AA47" i="99"/>
  <c r="AA48" i="99"/>
  <c r="AA49" i="99"/>
  <c r="AA50" i="99"/>
  <c r="AA16" i="99"/>
  <c r="AA6" i="99"/>
  <c r="AA7" i="99"/>
  <c r="AA8" i="99"/>
  <c r="AA9" i="99"/>
  <c r="AA10" i="99"/>
  <c r="AA11" i="99"/>
  <c r="AA12" i="99"/>
  <c r="AA5" i="99"/>
  <c r="X17" i="99"/>
  <c r="X18" i="99"/>
  <c r="X19" i="99"/>
  <c r="X20" i="99"/>
  <c r="X21" i="99"/>
  <c r="X22" i="99"/>
  <c r="X23" i="99"/>
  <c r="X24" i="99"/>
  <c r="X25" i="99"/>
  <c r="X26" i="99"/>
  <c r="X27" i="99"/>
  <c r="X28" i="99"/>
  <c r="X29" i="99"/>
  <c r="X30" i="99"/>
  <c r="X31" i="99"/>
  <c r="X32" i="99"/>
  <c r="X33" i="99"/>
  <c r="X34" i="99"/>
  <c r="X35" i="99"/>
  <c r="X36" i="99"/>
  <c r="X37" i="99"/>
  <c r="X38" i="99"/>
  <c r="X39" i="99"/>
  <c r="X40" i="99"/>
  <c r="X41" i="99"/>
  <c r="X42" i="99"/>
  <c r="X43" i="99"/>
  <c r="X44" i="99"/>
  <c r="X45" i="99"/>
  <c r="X46" i="99"/>
  <c r="X47" i="99"/>
  <c r="X48" i="99"/>
  <c r="X49" i="99"/>
  <c r="X50" i="99"/>
  <c r="X16" i="99"/>
  <c r="X6" i="99"/>
  <c r="X7" i="99"/>
  <c r="X8" i="99"/>
  <c r="X9" i="99"/>
  <c r="X10" i="99"/>
  <c r="X11" i="99"/>
  <c r="X12" i="99"/>
  <c r="X5" i="99"/>
  <c r="AB17" i="97"/>
  <c r="AB18" i="97"/>
  <c r="AB19" i="97"/>
  <c r="AB20" i="97"/>
  <c r="AB21" i="97"/>
  <c r="AB22" i="97"/>
  <c r="AB23" i="97"/>
  <c r="AB24" i="97"/>
  <c r="AB25" i="97"/>
  <c r="AB26" i="97"/>
  <c r="AB27" i="97"/>
  <c r="AB28" i="97"/>
  <c r="AB29" i="97"/>
  <c r="AB30" i="97"/>
  <c r="AB31" i="97"/>
  <c r="AB32" i="97"/>
  <c r="AB33" i="97"/>
  <c r="AB34" i="97"/>
  <c r="AB35" i="97"/>
  <c r="AB36" i="97"/>
  <c r="AB37" i="97"/>
  <c r="AB38" i="97"/>
  <c r="AB39" i="97"/>
  <c r="AB40" i="97"/>
  <c r="AB41" i="97"/>
  <c r="AB42" i="97"/>
  <c r="AB43" i="97"/>
  <c r="AB44" i="97"/>
  <c r="AB45" i="97"/>
  <c r="AB46" i="97"/>
  <c r="AB47" i="97"/>
  <c r="AB48" i="97"/>
  <c r="AB49" i="97"/>
  <c r="AB50" i="97"/>
  <c r="AB16" i="97"/>
  <c r="AB6" i="97"/>
  <c r="AB7" i="97"/>
  <c r="AB8" i="97"/>
  <c r="AB9" i="97"/>
  <c r="AB10" i="97"/>
  <c r="AB11" i="97"/>
  <c r="AB12" i="97"/>
  <c r="AB5" i="97"/>
  <c r="AA17" i="97"/>
  <c r="AA18" i="97"/>
  <c r="AA19" i="97"/>
  <c r="AA20" i="97"/>
  <c r="AA21" i="97"/>
  <c r="AA22" i="97"/>
  <c r="AA23" i="97"/>
  <c r="AA24" i="97"/>
  <c r="AA25" i="97"/>
  <c r="AA26" i="97"/>
  <c r="AA27" i="97"/>
  <c r="AA28" i="97"/>
  <c r="AA29" i="97"/>
  <c r="AA30" i="97"/>
  <c r="AA31" i="97"/>
  <c r="AA32" i="97"/>
  <c r="AA33" i="97"/>
  <c r="AA34" i="97"/>
  <c r="AA35" i="97"/>
  <c r="AA36" i="97"/>
  <c r="AA37" i="97"/>
  <c r="AA38" i="97"/>
  <c r="AA39" i="97"/>
  <c r="AA40" i="97"/>
  <c r="AA41" i="97"/>
  <c r="AA42" i="97"/>
  <c r="AA43" i="97"/>
  <c r="AA44" i="97"/>
  <c r="AA45" i="97"/>
  <c r="AA46" i="97"/>
  <c r="AA47" i="97"/>
  <c r="AA48" i="97"/>
  <c r="AA49" i="97"/>
  <c r="AA50" i="97"/>
  <c r="AA16" i="97"/>
  <c r="AA6" i="97"/>
  <c r="AA7" i="97"/>
  <c r="AA8" i="97"/>
  <c r="AA9" i="97"/>
  <c r="AA10" i="97"/>
  <c r="AA11" i="97"/>
  <c r="AA12" i="97"/>
  <c r="AA5" i="97"/>
  <c r="X17" i="97"/>
  <c r="X18" i="97"/>
  <c r="X19" i="97"/>
  <c r="X20" i="97"/>
  <c r="X21" i="97"/>
  <c r="X22" i="97"/>
  <c r="X23" i="97"/>
  <c r="X24" i="97"/>
  <c r="X25" i="97"/>
  <c r="X26" i="97"/>
  <c r="X27" i="97"/>
  <c r="X28" i="97"/>
  <c r="X29" i="97"/>
  <c r="X30" i="97"/>
  <c r="X31" i="97"/>
  <c r="X32" i="97"/>
  <c r="X33" i="97"/>
  <c r="X34" i="97"/>
  <c r="X35" i="97"/>
  <c r="X36" i="97"/>
  <c r="X37" i="97"/>
  <c r="X38" i="97"/>
  <c r="X39" i="97"/>
  <c r="X40" i="97"/>
  <c r="X41" i="97"/>
  <c r="X42" i="97"/>
  <c r="X43" i="97"/>
  <c r="X44" i="97"/>
  <c r="X45" i="97"/>
  <c r="X46" i="97"/>
  <c r="X47" i="97"/>
  <c r="X48" i="97"/>
  <c r="X49" i="97"/>
  <c r="X50" i="97"/>
  <c r="X16" i="97"/>
  <c r="X6" i="97"/>
  <c r="X7" i="97"/>
  <c r="X8" i="97"/>
  <c r="X9" i="97"/>
  <c r="X10" i="97"/>
  <c r="X11" i="97"/>
  <c r="X12" i="97"/>
  <c r="X5" i="97"/>
  <c r="N45" i="97"/>
  <c r="AB6" i="95"/>
  <c r="AB7" i="95"/>
  <c r="AB8" i="95"/>
  <c r="AB9" i="95"/>
  <c r="AB10" i="95"/>
  <c r="AB11" i="95"/>
  <c r="AB12" i="95"/>
  <c r="AB5" i="95"/>
  <c r="AB17" i="95"/>
  <c r="AB18" i="95"/>
  <c r="AB19" i="95"/>
  <c r="AB20" i="95"/>
  <c r="AB21" i="95"/>
  <c r="AB22" i="95"/>
  <c r="AB23" i="95"/>
  <c r="AB24" i="95"/>
  <c r="AB25" i="95"/>
  <c r="AB26" i="95"/>
  <c r="AB27" i="95"/>
  <c r="AB28" i="95"/>
  <c r="AB29" i="95"/>
  <c r="AB30" i="95"/>
  <c r="AB31" i="95"/>
  <c r="AB32" i="95"/>
  <c r="AB33" i="95"/>
  <c r="AB34" i="95"/>
  <c r="AB35" i="95"/>
  <c r="AB36" i="95"/>
  <c r="AB37" i="95"/>
  <c r="AB38" i="95"/>
  <c r="AB39" i="95"/>
  <c r="AB40" i="95"/>
  <c r="AB41" i="95"/>
  <c r="AB42" i="95"/>
  <c r="AB43" i="95"/>
  <c r="AB44" i="95"/>
  <c r="AB45" i="95"/>
  <c r="AB46" i="95"/>
  <c r="AB47" i="95"/>
  <c r="AB16" i="95"/>
  <c r="N17" i="95"/>
  <c r="N18" i="95"/>
  <c r="N19" i="95"/>
  <c r="N20" i="95"/>
  <c r="N21" i="95"/>
  <c r="N22" i="95"/>
  <c r="N23" i="95"/>
  <c r="N24" i="95"/>
  <c r="N25" i="95"/>
  <c r="N26" i="95"/>
  <c r="N27" i="95"/>
  <c r="N28" i="95"/>
  <c r="N29" i="95"/>
  <c r="N30" i="95"/>
  <c r="N31" i="95"/>
  <c r="N32" i="95"/>
  <c r="N33" i="95"/>
  <c r="N34" i="95"/>
  <c r="N35" i="95"/>
  <c r="N36" i="95"/>
  <c r="N37" i="95"/>
  <c r="N38" i="95"/>
  <c r="N39" i="95"/>
  <c r="N40" i="95"/>
  <c r="N41" i="95"/>
  <c r="N42" i="95"/>
  <c r="N43" i="95"/>
  <c r="N44" i="95"/>
  <c r="N45" i="95"/>
  <c r="N46" i="95"/>
  <c r="N47" i="95"/>
  <c r="N16" i="95"/>
  <c r="N6" i="95"/>
  <c r="N7" i="95"/>
  <c r="N8" i="95"/>
  <c r="N9" i="95"/>
  <c r="N10" i="95"/>
  <c r="N11" i="95"/>
  <c r="N12" i="95"/>
  <c r="N5" i="95"/>
  <c r="AA16" i="81"/>
  <c r="AA17" i="81"/>
  <c r="AA18" i="81"/>
  <c r="AA19" i="81"/>
  <c r="AA20" i="81"/>
  <c r="AA21" i="81"/>
  <c r="AA22" i="81"/>
  <c r="AA23" i="81"/>
  <c r="AA24" i="81"/>
  <c r="AA25" i="81"/>
  <c r="AB25" i="81" s="1"/>
  <c r="AA26" i="81"/>
  <c r="AB26" i="81" s="1"/>
  <c r="AA27" i="81"/>
  <c r="AB27" i="81" s="1"/>
  <c r="AA28" i="81"/>
  <c r="AA29" i="81"/>
  <c r="AA30" i="81"/>
  <c r="AA31" i="81"/>
  <c r="AA32" i="81"/>
  <c r="AA33" i="81"/>
  <c r="AA34" i="81"/>
  <c r="AA35" i="81"/>
  <c r="AA36" i="81"/>
  <c r="AA37" i="81"/>
  <c r="AB37" i="81" s="1"/>
  <c r="AA38" i="81"/>
  <c r="AB38" i="81" s="1"/>
  <c r="AA39" i="81"/>
  <c r="AA40" i="81"/>
  <c r="AA41" i="81"/>
  <c r="AA42" i="81"/>
  <c r="AA43" i="81"/>
  <c r="AA44" i="81"/>
  <c r="AA15" i="81"/>
  <c r="AB16" i="81"/>
  <c r="AB17" i="81"/>
  <c r="AB18" i="81"/>
  <c r="AB19" i="81"/>
  <c r="AB20" i="81"/>
  <c r="AB21" i="81"/>
  <c r="AB22" i="81"/>
  <c r="AB23" i="81"/>
  <c r="AB24" i="81"/>
  <c r="AB28" i="81"/>
  <c r="AB29" i="81"/>
  <c r="AB30" i="81"/>
  <c r="AB31" i="81"/>
  <c r="AB32" i="81"/>
  <c r="AB33" i="81"/>
  <c r="AB34" i="81"/>
  <c r="AB35" i="81"/>
  <c r="AB36" i="81"/>
  <c r="AB39" i="81"/>
  <c r="AB40" i="81"/>
  <c r="AB41" i="81"/>
  <c r="AB42" i="81"/>
  <c r="AB43" i="81"/>
  <c r="AB15" i="81"/>
  <c r="AA11" i="81"/>
  <c r="AB11" i="81" s="1"/>
  <c r="AB6" i="81"/>
  <c r="AB7" i="81"/>
  <c r="AB8" i="81"/>
  <c r="AB9" i="81"/>
  <c r="AB10" i="81"/>
  <c r="AB5" i="81"/>
  <c r="N16" i="81"/>
  <c r="N17" i="81"/>
  <c r="N18" i="81"/>
  <c r="N19" i="81"/>
  <c r="N20" i="81"/>
  <c r="N21" i="81"/>
  <c r="N22" i="81"/>
  <c r="N23" i="81"/>
  <c r="N24" i="81"/>
  <c r="N25" i="81"/>
  <c r="N26" i="81"/>
  <c r="N27" i="81"/>
  <c r="N28" i="81"/>
  <c r="N29" i="81"/>
  <c r="N30" i="81"/>
  <c r="N31" i="81"/>
  <c r="N32" i="81"/>
  <c r="N33" i="81"/>
  <c r="N34" i="81"/>
  <c r="N35" i="81"/>
  <c r="N36" i="81"/>
  <c r="N37" i="81"/>
  <c r="N38" i="81"/>
  <c r="N39" i="81"/>
  <c r="N40" i="81"/>
  <c r="N41" i="81"/>
  <c r="N42" i="81"/>
  <c r="N43" i="81"/>
  <c r="N44" i="81"/>
  <c r="N15" i="81"/>
  <c r="N6" i="81"/>
  <c r="N7" i="81"/>
  <c r="N8" i="81"/>
  <c r="N9" i="81"/>
  <c r="N10" i="81"/>
  <c r="N11" i="81"/>
  <c r="N5" i="81"/>
  <c r="M84" i="101"/>
  <c r="N43" i="101"/>
  <c r="N44" i="101" s="1"/>
  <c r="N170" i="101" s="1"/>
  <c r="M43" i="101"/>
  <c r="M44" i="101" s="1"/>
  <c r="L43" i="101"/>
  <c r="L44" i="101" s="1"/>
  <c r="K43" i="101"/>
  <c r="K44" i="101" s="1"/>
  <c r="J43" i="101"/>
  <c r="J44" i="101" s="1"/>
  <c r="I43" i="101"/>
  <c r="I44" i="101" s="1"/>
  <c r="H43" i="101"/>
  <c r="F43" i="101"/>
  <c r="E43" i="101"/>
  <c r="E44" i="101" s="1"/>
  <c r="D43" i="101"/>
  <c r="D44" i="101" s="1"/>
  <c r="C43" i="101"/>
  <c r="G39" i="101"/>
  <c r="G43" i="101" s="1"/>
  <c r="G36" i="101"/>
  <c r="G37" i="101" s="1"/>
  <c r="F36" i="101"/>
  <c r="C32" i="101"/>
  <c r="G29" i="101"/>
  <c r="O29" i="101" s="1"/>
  <c r="G27" i="101"/>
  <c r="O27" i="101" s="1"/>
  <c r="G25" i="101"/>
  <c r="O25" i="101" s="1"/>
  <c r="G17" i="101"/>
  <c r="O17" i="101" s="1"/>
  <c r="G13" i="101"/>
  <c r="C11" i="101"/>
  <c r="H10" i="101"/>
  <c r="G10" i="101"/>
  <c r="F10" i="101"/>
  <c r="H9" i="101"/>
  <c r="H11" i="101" s="1"/>
  <c r="G9" i="101"/>
  <c r="G11" i="101" s="1"/>
  <c r="F9" i="101"/>
  <c r="B39" i="100"/>
  <c r="B50" i="100" s="1"/>
  <c r="B36" i="100"/>
  <c r="B61" i="100"/>
  <c r="F61" i="100" s="1"/>
  <c r="B27" i="100"/>
  <c r="M27" i="100" s="1"/>
  <c r="B24" i="100"/>
  <c r="D24" i="100" s="1"/>
  <c r="B11" i="100"/>
  <c r="B10" i="100"/>
  <c r="B9" i="100"/>
  <c r="B8" i="100"/>
  <c r="F8" i="100" s="1"/>
  <c r="B7" i="100"/>
  <c r="B6" i="100"/>
  <c r="B5" i="100"/>
  <c r="G62" i="100"/>
  <c r="G61" i="100"/>
  <c r="G60" i="100"/>
  <c r="F60" i="100"/>
  <c r="H60" i="100" s="1"/>
  <c r="D60" i="100"/>
  <c r="G59" i="100"/>
  <c r="F59" i="100"/>
  <c r="H59" i="100" s="1"/>
  <c r="D59" i="100"/>
  <c r="G58" i="100"/>
  <c r="F58" i="100"/>
  <c r="H58" i="100" s="1"/>
  <c r="D58" i="100"/>
  <c r="G57" i="100"/>
  <c r="D57" i="100"/>
  <c r="F57" i="100"/>
  <c r="G56" i="100"/>
  <c r="F56" i="100"/>
  <c r="H56" i="100" s="1"/>
  <c r="D56" i="100"/>
  <c r="G55" i="100"/>
  <c r="F55" i="100"/>
  <c r="D55" i="100"/>
  <c r="G54" i="100"/>
  <c r="F54" i="100"/>
  <c r="D54" i="100"/>
  <c r="AC50" i="100"/>
  <c r="AC49" i="100"/>
  <c r="Z49" i="100"/>
  <c r="W49" i="100"/>
  <c r="U49" i="100"/>
  <c r="R49" i="100"/>
  <c r="P49" i="100"/>
  <c r="M49" i="100"/>
  <c r="J49" i="100"/>
  <c r="H49" i="100"/>
  <c r="F49" i="100"/>
  <c r="D49" i="100"/>
  <c r="AC48" i="100"/>
  <c r="Z48" i="100"/>
  <c r="W48" i="100"/>
  <c r="U48" i="100"/>
  <c r="R48" i="100"/>
  <c r="P48" i="100"/>
  <c r="M48" i="100"/>
  <c r="J48" i="100"/>
  <c r="H48" i="100"/>
  <c r="F48" i="100"/>
  <c r="D48" i="100"/>
  <c r="AC47" i="100"/>
  <c r="Z47" i="100"/>
  <c r="W47" i="100"/>
  <c r="R47" i="100"/>
  <c r="P47" i="100"/>
  <c r="M47" i="100"/>
  <c r="J47" i="100"/>
  <c r="H47" i="100"/>
  <c r="F47" i="100"/>
  <c r="D47" i="100"/>
  <c r="AC46" i="100"/>
  <c r="Z46" i="100"/>
  <c r="W46" i="100"/>
  <c r="U46" i="100"/>
  <c r="R46" i="100"/>
  <c r="P46" i="100"/>
  <c r="M46" i="100"/>
  <c r="J46" i="100"/>
  <c r="H46" i="100"/>
  <c r="F46" i="100"/>
  <c r="D46" i="100"/>
  <c r="AC45" i="100"/>
  <c r="W45" i="100"/>
  <c r="U45" i="100"/>
  <c r="H45" i="100"/>
  <c r="F45" i="100"/>
  <c r="D45" i="100"/>
  <c r="AC44" i="100"/>
  <c r="Z44" i="100"/>
  <c r="W44" i="100"/>
  <c r="U44" i="100"/>
  <c r="R44" i="100"/>
  <c r="P44" i="100"/>
  <c r="M44" i="100"/>
  <c r="J44" i="100"/>
  <c r="H44" i="100"/>
  <c r="F44" i="100"/>
  <c r="D44" i="100"/>
  <c r="AC43" i="100"/>
  <c r="Z43" i="100"/>
  <c r="W43" i="100"/>
  <c r="U43" i="100"/>
  <c r="R43" i="100"/>
  <c r="P43" i="100"/>
  <c r="M43" i="100"/>
  <c r="J43" i="100"/>
  <c r="H43" i="100"/>
  <c r="F43" i="100"/>
  <c r="D43" i="100"/>
  <c r="AC42" i="100"/>
  <c r="Z42" i="100"/>
  <c r="W42" i="100"/>
  <c r="U42" i="100"/>
  <c r="R42" i="100"/>
  <c r="P42" i="100"/>
  <c r="M42" i="100"/>
  <c r="J42" i="100"/>
  <c r="H42" i="100"/>
  <c r="F42" i="100"/>
  <c r="D42" i="100"/>
  <c r="AC41" i="100"/>
  <c r="Z41" i="100"/>
  <c r="W41" i="100"/>
  <c r="U41" i="100"/>
  <c r="R41" i="100"/>
  <c r="P41" i="100"/>
  <c r="M41" i="100"/>
  <c r="J41" i="100"/>
  <c r="H41" i="100"/>
  <c r="F41" i="100"/>
  <c r="D41" i="100"/>
  <c r="AC40" i="100"/>
  <c r="Z40" i="100"/>
  <c r="W40" i="100"/>
  <c r="U40" i="100"/>
  <c r="R40" i="100"/>
  <c r="P40" i="100"/>
  <c r="M40" i="100"/>
  <c r="J40" i="100"/>
  <c r="H40" i="100"/>
  <c r="F40" i="100"/>
  <c r="D40" i="100"/>
  <c r="AC39" i="100"/>
  <c r="Z39" i="100"/>
  <c r="W39" i="100"/>
  <c r="U39" i="100"/>
  <c r="R39" i="100"/>
  <c r="P39" i="100"/>
  <c r="M39" i="100"/>
  <c r="H39" i="100"/>
  <c r="F39" i="100"/>
  <c r="D39" i="100"/>
  <c r="AC38" i="100"/>
  <c r="U38" i="100"/>
  <c r="R38" i="100"/>
  <c r="P38" i="100"/>
  <c r="M38" i="100"/>
  <c r="J38" i="100"/>
  <c r="H38" i="100"/>
  <c r="F38" i="100"/>
  <c r="D38" i="100"/>
  <c r="Z38" i="100"/>
  <c r="AC37" i="100"/>
  <c r="Z37" i="100"/>
  <c r="W37" i="100"/>
  <c r="U37" i="100"/>
  <c r="R37" i="100"/>
  <c r="P37" i="100"/>
  <c r="M37" i="100"/>
  <c r="J37" i="100"/>
  <c r="H37" i="100"/>
  <c r="F37" i="100"/>
  <c r="D37" i="100"/>
  <c r="AC36" i="100"/>
  <c r="Z36" i="100"/>
  <c r="W36" i="100"/>
  <c r="U36" i="100"/>
  <c r="R36" i="100"/>
  <c r="P36" i="100"/>
  <c r="M36" i="100"/>
  <c r="J36" i="100"/>
  <c r="H36" i="100"/>
  <c r="F36" i="100"/>
  <c r="D36" i="100"/>
  <c r="AC35" i="100"/>
  <c r="Z35" i="100"/>
  <c r="W35" i="100"/>
  <c r="U35" i="100"/>
  <c r="R35" i="100"/>
  <c r="P35" i="100"/>
  <c r="M35" i="100"/>
  <c r="J35" i="100"/>
  <c r="H35" i="100"/>
  <c r="F35" i="100"/>
  <c r="D35" i="100"/>
  <c r="AC34" i="100"/>
  <c r="Z34" i="100"/>
  <c r="W34" i="100"/>
  <c r="U34" i="100"/>
  <c r="R34" i="100"/>
  <c r="P34" i="100"/>
  <c r="M34" i="100"/>
  <c r="J34" i="100"/>
  <c r="H34" i="100"/>
  <c r="F34" i="100"/>
  <c r="D34" i="100"/>
  <c r="AC33" i="100"/>
  <c r="Z33" i="100"/>
  <c r="W33" i="100"/>
  <c r="U33" i="100"/>
  <c r="R33" i="100"/>
  <c r="P33" i="100"/>
  <c r="M33" i="100"/>
  <c r="J33" i="100"/>
  <c r="H33" i="100"/>
  <c r="F33" i="100"/>
  <c r="D33" i="100"/>
  <c r="AC32" i="100"/>
  <c r="Z32" i="100"/>
  <c r="W32" i="100"/>
  <c r="U32" i="100"/>
  <c r="R32" i="100"/>
  <c r="P32" i="100"/>
  <c r="M32" i="100"/>
  <c r="J32" i="100"/>
  <c r="H32" i="100"/>
  <c r="F32" i="100"/>
  <c r="D32" i="100"/>
  <c r="AC31" i="100"/>
  <c r="Z31" i="100"/>
  <c r="W31" i="100"/>
  <c r="U31" i="100"/>
  <c r="R31" i="100"/>
  <c r="P31" i="100"/>
  <c r="M31" i="100"/>
  <c r="J31" i="100"/>
  <c r="H31" i="100"/>
  <c r="F31" i="100"/>
  <c r="D31" i="100"/>
  <c r="AC30" i="100"/>
  <c r="Z30" i="100"/>
  <c r="W30" i="100"/>
  <c r="U30" i="100"/>
  <c r="R30" i="100"/>
  <c r="P30" i="100"/>
  <c r="M30" i="100"/>
  <c r="J30" i="100"/>
  <c r="H30" i="100"/>
  <c r="F30" i="100"/>
  <c r="D30" i="100"/>
  <c r="AC29" i="100"/>
  <c r="Z29" i="100"/>
  <c r="W29" i="100"/>
  <c r="U29" i="100"/>
  <c r="R29" i="100"/>
  <c r="P29" i="100"/>
  <c r="M29" i="100"/>
  <c r="J29" i="100"/>
  <c r="H29" i="100"/>
  <c r="F29" i="100"/>
  <c r="D29" i="100"/>
  <c r="AC28" i="100"/>
  <c r="Z28" i="100"/>
  <c r="W28" i="100"/>
  <c r="U28" i="100"/>
  <c r="R28" i="100"/>
  <c r="P28" i="100"/>
  <c r="M28" i="100"/>
  <c r="J28" i="100"/>
  <c r="H28" i="100"/>
  <c r="F28" i="100"/>
  <c r="D28" i="100"/>
  <c r="AC27" i="100"/>
  <c r="Z27" i="100"/>
  <c r="W27" i="100"/>
  <c r="U27" i="100"/>
  <c r="R27" i="100"/>
  <c r="P27" i="100"/>
  <c r="H27" i="100"/>
  <c r="F27" i="100"/>
  <c r="D27" i="100"/>
  <c r="AC26" i="100"/>
  <c r="Z26" i="100"/>
  <c r="W26" i="100"/>
  <c r="U26" i="100"/>
  <c r="R26" i="100"/>
  <c r="P26" i="100"/>
  <c r="M26" i="100"/>
  <c r="J26" i="100"/>
  <c r="H26" i="100"/>
  <c r="F26" i="100"/>
  <c r="D26" i="100"/>
  <c r="AC25" i="100"/>
  <c r="Z25" i="100"/>
  <c r="W25" i="100"/>
  <c r="U25" i="100"/>
  <c r="R25" i="100"/>
  <c r="P25" i="100"/>
  <c r="M25" i="100"/>
  <c r="J25" i="100"/>
  <c r="H25" i="100"/>
  <c r="F25" i="100"/>
  <c r="D25" i="100"/>
  <c r="AC24" i="100"/>
  <c r="M24" i="100"/>
  <c r="J24" i="100"/>
  <c r="H24" i="100"/>
  <c r="F24" i="100"/>
  <c r="AC23" i="100"/>
  <c r="Z23" i="100"/>
  <c r="W23" i="100"/>
  <c r="U23" i="100"/>
  <c r="R23" i="100"/>
  <c r="P23" i="100"/>
  <c r="M23" i="100"/>
  <c r="J23" i="100"/>
  <c r="H23" i="100"/>
  <c r="F23" i="100"/>
  <c r="D23" i="100"/>
  <c r="AC22" i="100"/>
  <c r="Z22" i="100"/>
  <c r="W22" i="100"/>
  <c r="U22" i="100"/>
  <c r="R22" i="100"/>
  <c r="P22" i="100"/>
  <c r="M22" i="100"/>
  <c r="J22" i="100"/>
  <c r="H22" i="100"/>
  <c r="F22" i="100"/>
  <c r="D22" i="100"/>
  <c r="AC21" i="100"/>
  <c r="Z21" i="100"/>
  <c r="W21" i="100"/>
  <c r="U21" i="100"/>
  <c r="R21" i="100"/>
  <c r="P21" i="100"/>
  <c r="M21" i="100"/>
  <c r="J21" i="100"/>
  <c r="H21" i="100"/>
  <c r="F21" i="100"/>
  <c r="D21" i="100"/>
  <c r="AC20" i="100"/>
  <c r="Z20" i="100"/>
  <c r="W20" i="100"/>
  <c r="U20" i="100"/>
  <c r="R20" i="100"/>
  <c r="P20" i="100"/>
  <c r="M20" i="100"/>
  <c r="J20" i="100"/>
  <c r="H20" i="100"/>
  <c r="F20" i="100"/>
  <c r="D20" i="100"/>
  <c r="AC19" i="100"/>
  <c r="Z19" i="100"/>
  <c r="W19" i="100"/>
  <c r="U19" i="100"/>
  <c r="R19" i="100"/>
  <c r="P19" i="100"/>
  <c r="M19" i="100"/>
  <c r="J19" i="100"/>
  <c r="H19" i="100"/>
  <c r="F19" i="100"/>
  <c r="D19" i="100"/>
  <c r="AC18" i="100"/>
  <c r="Z18" i="100"/>
  <c r="W18" i="100"/>
  <c r="U18" i="100"/>
  <c r="R18" i="100"/>
  <c r="P18" i="100"/>
  <c r="M18" i="100"/>
  <c r="J18" i="100"/>
  <c r="H18" i="100"/>
  <c r="F18" i="100"/>
  <c r="D18" i="100"/>
  <c r="AC17" i="100"/>
  <c r="Z17" i="100"/>
  <c r="W17" i="100"/>
  <c r="U17" i="100"/>
  <c r="R17" i="100"/>
  <c r="P17" i="100"/>
  <c r="M17" i="100"/>
  <c r="J17" i="100"/>
  <c r="H17" i="100"/>
  <c r="F17" i="100"/>
  <c r="D17" i="100"/>
  <c r="AC16" i="100"/>
  <c r="Z16" i="100"/>
  <c r="W16" i="100"/>
  <c r="U16" i="100"/>
  <c r="R16" i="100"/>
  <c r="P16" i="100"/>
  <c r="M16" i="100"/>
  <c r="J16" i="100"/>
  <c r="H16" i="100"/>
  <c r="F16" i="100"/>
  <c r="D16" i="100"/>
  <c r="AC12" i="100"/>
  <c r="V11" i="100"/>
  <c r="T11" i="100"/>
  <c r="Q11" i="100"/>
  <c r="L11" i="100"/>
  <c r="M11" i="100" s="1"/>
  <c r="I11" i="100"/>
  <c r="G11" i="100"/>
  <c r="H11" i="100" s="1"/>
  <c r="E11" i="100"/>
  <c r="C11" i="100"/>
  <c r="V10" i="100"/>
  <c r="T10" i="100"/>
  <c r="Q10" i="100"/>
  <c r="L10" i="100"/>
  <c r="M10" i="100" s="1"/>
  <c r="I10" i="100"/>
  <c r="G10" i="100"/>
  <c r="E10" i="100"/>
  <c r="C10" i="100"/>
  <c r="V9" i="100"/>
  <c r="W9" i="100" s="1"/>
  <c r="T9" i="100"/>
  <c r="Q9" i="100"/>
  <c r="L9" i="100"/>
  <c r="I9" i="100"/>
  <c r="G9" i="100"/>
  <c r="E9" i="100"/>
  <c r="C9" i="100"/>
  <c r="AC8" i="100"/>
  <c r="Y7" i="100"/>
  <c r="V7" i="100"/>
  <c r="T7" i="100"/>
  <c r="Q7" i="100"/>
  <c r="O7" i="100"/>
  <c r="L7" i="100"/>
  <c r="I7" i="100"/>
  <c r="G7" i="100"/>
  <c r="E7" i="100"/>
  <c r="C7" i="100"/>
  <c r="Y6" i="100"/>
  <c r="V6" i="100"/>
  <c r="T6" i="100"/>
  <c r="Q6" i="100"/>
  <c r="O6" i="100"/>
  <c r="L6" i="100"/>
  <c r="I6" i="100"/>
  <c r="G6" i="100"/>
  <c r="E6" i="100"/>
  <c r="C6" i="100"/>
  <c r="Y5" i="100"/>
  <c r="V5" i="100"/>
  <c r="T5" i="100"/>
  <c r="Q5" i="100"/>
  <c r="O5" i="100"/>
  <c r="L5" i="100"/>
  <c r="I5" i="100"/>
  <c r="G5" i="100"/>
  <c r="E5" i="100"/>
  <c r="C5" i="100"/>
  <c r="E157" i="33"/>
  <c r="E158" i="33"/>
  <c r="E159" i="33"/>
  <c r="E160" i="33"/>
  <c r="G157" i="33"/>
  <c r="G158" i="33"/>
  <c r="G159" i="33"/>
  <c r="H157" i="33"/>
  <c r="H161" i="33" s="1"/>
  <c r="H158" i="33"/>
  <c r="H159" i="33"/>
  <c r="H160" i="33"/>
  <c r="H167" i="33"/>
  <c r="H168" i="33"/>
  <c r="H170" i="33" s="1"/>
  <c r="H169" i="33"/>
  <c r="G167" i="33"/>
  <c r="G168" i="33"/>
  <c r="G169" i="33"/>
  <c r="E167" i="33"/>
  <c r="E168" i="33"/>
  <c r="E169" i="33"/>
  <c r="D167" i="33"/>
  <c r="D168" i="33"/>
  <c r="D169" i="33"/>
  <c r="G156" i="33"/>
  <c r="D176" i="33"/>
  <c r="D175" i="33"/>
  <c r="D174" i="33"/>
  <c r="H166" i="33"/>
  <c r="G166" i="33"/>
  <c r="G170" i="33" s="1"/>
  <c r="E166" i="33"/>
  <c r="E170" i="33" s="1"/>
  <c r="D166" i="33"/>
  <c r="D170" i="33" s="1"/>
  <c r="C161" i="33"/>
  <c r="B161" i="33"/>
  <c r="D160" i="33"/>
  <c r="D159" i="33"/>
  <c r="D158" i="33"/>
  <c r="D157" i="33"/>
  <c r="H156" i="33"/>
  <c r="E156" i="33"/>
  <c r="E161" i="33" s="1"/>
  <c r="D156" i="33"/>
  <c r="I156" i="33" s="1"/>
  <c r="O36" i="101" l="1"/>
  <c r="O37" i="101" s="1"/>
  <c r="O115" i="101"/>
  <c r="D163" i="101"/>
  <c r="H44" i="101"/>
  <c r="O98" i="101"/>
  <c r="O108" i="101"/>
  <c r="H134" i="101"/>
  <c r="F11" i="101"/>
  <c r="O112" i="101"/>
  <c r="F134" i="101"/>
  <c r="G151" i="101"/>
  <c r="O104" i="101"/>
  <c r="G134" i="101"/>
  <c r="D151" i="101"/>
  <c r="D120" i="101"/>
  <c r="O93" i="101"/>
  <c r="O10" i="101"/>
  <c r="M169" i="101"/>
  <c r="D134" i="101"/>
  <c r="D136" i="101" s="1"/>
  <c r="G128" i="101"/>
  <c r="O124" i="101"/>
  <c r="L169" i="101"/>
  <c r="O101" i="101"/>
  <c r="K169" i="101"/>
  <c r="G32" i="101"/>
  <c r="G44" i="101" s="1"/>
  <c r="O123" i="101"/>
  <c r="F128" i="101"/>
  <c r="H159" i="101"/>
  <c r="D159" i="101"/>
  <c r="O166" i="101"/>
  <c r="O168" i="101" s="1"/>
  <c r="F37" i="101"/>
  <c r="O116" i="101"/>
  <c r="G159" i="101"/>
  <c r="C151" i="101"/>
  <c r="G163" i="101"/>
  <c r="H163" i="101"/>
  <c r="I163" i="101"/>
  <c r="C159" i="101"/>
  <c r="AD41" i="102"/>
  <c r="AD30" i="102"/>
  <c r="S5" i="102"/>
  <c r="AB30" i="102"/>
  <c r="AB23" i="102"/>
  <c r="AD29" i="102"/>
  <c r="AB20" i="102"/>
  <c r="AD47" i="102"/>
  <c r="K6" i="102"/>
  <c r="AB6" i="102" s="1"/>
  <c r="W12" i="102"/>
  <c r="AB28" i="102"/>
  <c r="AB19" i="102"/>
  <c r="AB17" i="102"/>
  <c r="AD42" i="102"/>
  <c r="AB26" i="102"/>
  <c r="AD48" i="102"/>
  <c r="AD39" i="102"/>
  <c r="AD24" i="102"/>
  <c r="AD34" i="102"/>
  <c r="AB41" i="102"/>
  <c r="AB32" i="102"/>
  <c r="AD35" i="102"/>
  <c r="AD44" i="102"/>
  <c r="AD43" i="102"/>
  <c r="AB21" i="102"/>
  <c r="AB31" i="102"/>
  <c r="AD33" i="102"/>
  <c r="AB22" i="102"/>
  <c r="AD19" i="102"/>
  <c r="AB45" i="102"/>
  <c r="AB25" i="102"/>
  <c r="AB48" i="102"/>
  <c r="AD50" i="102"/>
  <c r="AD45" i="102"/>
  <c r="AB49" i="102"/>
  <c r="AB42" i="102"/>
  <c r="AD38" i="102"/>
  <c r="X10" i="102"/>
  <c r="AB35" i="102"/>
  <c r="K10" i="102"/>
  <c r="AB9" i="102"/>
  <c r="AD28" i="102"/>
  <c r="AD26" i="102"/>
  <c r="AD18" i="102"/>
  <c r="B65" i="102"/>
  <c r="S10" i="102"/>
  <c r="AD16" i="102"/>
  <c r="AD49" i="102"/>
  <c r="AB44" i="102"/>
  <c r="AB39" i="102"/>
  <c r="AD20" i="102"/>
  <c r="AB29" i="102"/>
  <c r="X36" i="102"/>
  <c r="J51" i="102"/>
  <c r="AB33" i="102"/>
  <c r="AB18" i="102"/>
  <c r="AB34" i="102"/>
  <c r="AD22" i="102"/>
  <c r="W51" i="102"/>
  <c r="U51" i="102"/>
  <c r="AB38" i="102"/>
  <c r="AD32" i="102"/>
  <c r="AD25" i="102"/>
  <c r="AB43" i="102"/>
  <c r="X46" i="102"/>
  <c r="AD36" i="102"/>
  <c r="X11" i="102"/>
  <c r="K8" i="102"/>
  <c r="S8" i="102"/>
  <c r="K7" i="102"/>
  <c r="S7" i="102"/>
  <c r="AD27" i="102"/>
  <c r="Z51" i="102"/>
  <c r="D63" i="102"/>
  <c r="H63" i="102" s="1"/>
  <c r="M51" i="102"/>
  <c r="J150" i="101" s="1"/>
  <c r="J151" i="101" s="1"/>
  <c r="N51" i="102"/>
  <c r="P51" i="102"/>
  <c r="D51" i="102"/>
  <c r="Z12" i="102"/>
  <c r="P12" i="102"/>
  <c r="B71" i="102" s="1"/>
  <c r="D12" i="102"/>
  <c r="AA12" i="102"/>
  <c r="F51" i="102"/>
  <c r="H12" i="102"/>
  <c r="R12" i="102"/>
  <c r="B72" i="102" s="1"/>
  <c r="K40" i="102"/>
  <c r="AB40" i="102" s="1"/>
  <c r="AA51" i="102"/>
  <c r="J163" i="101" s="1"/>
  <c r="J12" i="102"/>
  <c r="K5" i="102"/>
  <c r="F12" i="102"/>
  <c r="X5" i="102"/>
  <c r="U12" i="102"/>
  <c r="M12" i="102"/>
  <c r="N12" i="102" s="1"/>
  <c r="K46" i="102"/>
  <c r="AD46" i="102" s="1"/>
  <c r="X24" i="102"/>
  <c r="AB24" i="102" s="1"/>
  <c r="K11" i="102"/>
  <c r="AB16" i="102"/>
  <c r="AB38" i="100"/>
  <c r="AB26" i="100"/>
  <c r="AB39" i="100"/>
  <c r="AB27" i="100"/>
  <c r="AB40" i="100"/>
  <c r="AB28" i="100"/>
  <c r="AB22" i="100"/>
  <c r="H136" i="101"/>
  <c r="C163" i="101"/>
  <c r="C134" i="101"/>
  <c r="C136" i="101" s="1"/>
  <c r="C44" i="101"/>
  <c r="D7" i="100"/>
  <c r="AC11" i="100"/>
  <c r="R10" i="100"/>
  <c r="Z8" i="100"/>
  <c r="AC10" i="100"/>
  <c r="H8" i="100"/>
  <c r="AD26" i="100"/>
  <c r="F6" i="100"/>
  <c r="F10" i="100"/>
  <c r="D11" i="100"/>
  <c r="H55" i="100"/>
  <c r="F9" i="100"/>
  <c r="AC7" i="100"/>
  <c r="R11" i="100"/>
  <c r="F7" i="100"/>
  <c r="AD29" i="100"/>
  <c r="AC6" i="100"/>
  <c r="AC5" i="100"/>
  <c r="H57" i="100"/>
  <c r="W10" i="100"/>
  <c r="U5" i="100"/>
  <c r="O9" i="101"/>
  <c r="O39" i="101"/>
  <c r="O13" i="101"/>
  <c r="J39" i="100"/>
  <c r="D61" i="100"/>
  <c r="H61" i="100" s="1"/>
  <c r="AD37" i="100"/>
  <c r="J27" i="100"/>
  <c r="P24" i="100"/>
  <c r="R24" i="100"/>
  <c r="U24" i="100"/>
  <c r="W24" i="100"/>
  <c r="Z24" i="100"/>
  <c r="H54" i="100"/>
  <c r="F50" i="100"/>
  <c r="AD32" i="100"/>
  <c r="D50" i="100"/>
  <c r="AD28" i="100"/>
  <c r="AD20" i="100"/>
  <c r="AD43" i="100"/>
  <c r="AD21" i="100"/>
  <c r="AD33" i="100"/>
  <c r="AB46" i="100"/>
  <c r="AD19" i="100"/>
  <c r="AD47" i="100"/>
  <c r="U50" i="100"/>
  <c r="U11" i="100"/>
  <c r="W11" i="100"/>
  <c r="D10" i="100"/>
  <c r="U10" i="100"/>
  <c r="D9" i="100"/>
  <c r="M9" i="100"/>
  <c r="R9" i="100"/>
  <c r="J8" i="100"/>
  <c r="R8" i="100"/>
  <c r="M8" i="100"/>
  <c r="P8" i="100"/>
  <c r="D8" i="100"/>
  <c r="J7" i="100"/>
  <c r="M7" i="100"/>
  <c r="P7" i="100"/>
  <c r="R7" i="100"/>
  <c r="W7" i="100"/>
  <c r="Z7" i="100"/>
  <c r="H7" i="100"/>
  <c r="H6" i="100"/>
  <c r="M6" i="100"/>
  <c r="P6" i="100"/>
  <c r="J6" i="100"/>
  <c r="R6" i="100"/>
  <c r="U6" i="100"/>
  <c r="W6" i="100"/>
  <c r="Z6" i="100"/>
  <c r="D6" i="100"/>
  <c r="J5" i="100"/>
  <c r="F5" i="100"/>
  <c r="H5" i="100"/>
  <c r="M5" i="100"/>
  <c r="P5" i="100"/>
  <c r="R5" i="100"/>
  <c r="W5" i="100"/>
  <c r="Z5" i="100"/>
  <c r="U12" i="100"/>
  <c r="AD25" i="100"/>
  <c r="AD44" i="100"/>
  <c r="AC9" i="100"/>
  <c r="B62" i="100"/>
  <c r="P11" i="100"/>
  <c r="AD17" i="100"/>
  <c r="H50" i="100"/>
  <c r="P10" i="100"/>
  <c r="B12" i="100"/>
  <c r="P9" i="100"/>
  <c r="Z45" i="100"/>
  <c r="F62" i="100"/>
  <c r="H10" i="100"/>
  <c r="H9" i="100"/>
  <c r="W38" i="100"/>
  <c r="W50" i="100" s="1"/>
  <c r="M45" i="100"/>
  <c r="F11" i="100"/>
  <c r="J45" i="100"/>
  <c r="D5" i="100"/>
  <c r="W8" i="100"/>
  <c r="Z9" i="100"/>
  <c r="J10" i="100"/>
  <c r="Z10" i="100"/>
  <c r="J11" i="100"/>
  <c r="Z11" i="100"/>
  <c r="P45" i="100"/>
  <c r="J9" i="100"/>
  <c r="R45" i="100"/>
  <c r="R50" i="100" s="1"/>
  <c r="I157" i="33"/>
  <c r="I159" i="33"/>
  <c r="G161" i="33"/>
  <c r="I158" i="33"/>
  <c r="I160" i="33"/>
  <c r="I169" i="33"/>
  <c r="I167" i="33"/>
  <c r="I168" i="33"/>
  <c r="I166" i="33"/>
  <c r="D161" i="33"/>
  <c r="F44" i="101" l="1"/>
  <c r="O32" i="101"/>
  <c r="B70" i="102"/>
  <c r="B68" i="102"/>
  <c r="S12" i="102"/>
  <c r="X12" i="102"/>
  <c r="AB8" i="102"/>
  <c r="K51" i="102"/>
  <c r="J133" i="101" s="1"/>
  <c r="K12" i="102"/>
  <c r="AB10" i="102"/>
  <c r="AB7" i="102"/>
  <c r="AB11" i="102"/>
  <c r="AB36" i="102"/>
  <c r="S51" i="102"/>
  <c r="X51" i="102"/>
  <c r="AB46" i="102"/>
  <c r="AB5" i="102"/>
  <c r="AB27" i="102"/>
  <c r="AD40" i="102"/>
  <c r="AD51" i="102" s="1"/>
  <c r="M170" i="101"/>
  <c r="L170" i="101"/>
  <c r="K170" i="101"/>
  <c r="O11" i="101"/>
  <c r="AB45" i="100"/>
  <c r="AD46" i="100"/>
  <c r="Z12" i="100"/>
  <c r="AD24" i="100"/>
  <c r="AD48" i="100"/>
  <c r="AD22" i="100"/>
  <c r="P50" i="100"/>
  <c r="AD45" i="100"/>
  <c r="AD35" i="100"/>
  <c r="AD41" i="100"/>
  <c r="AD40" i="100"/>
  <c r="AD18" i="100"/>
  <c r="AD23" i="100"/>
  <c r="AD31" i="100"/>
  <c r="K5" i="100"/>
  <c r="R12" i="100"/>
  <c r="M12" i="100"/>
  <c r="N12" i="100" s="1"/>
  <c r="J50" i="100"/>
  <c r="O43" i="101"/>
  <c r="AD39" i="100"/>
  <c r="AD36" i="100"/>
  <c r="D62" i="100"/>
  <c r="H62" i="100" s="1"/>
  <c r="AD34" i="100"/>
  <c r="AD27" i="100"/>
  <c r="AD30" i="100"/>
  <c r="AD42" i="100"/>
  <c r="AD49" i="100"/>
  <c r="P12" i="100"/>
  <c r="J12" i="100"/>
  <c r="H12" i="100"/>
  <c r="M50" i="100"/>
  <c r="F12" i="100"/>
  <c r="W12" i="100"/>
  <c r="AD38" i="100"/>
  <c r="D12" i="100"/>
  <c r="AD16" i="100"/>
  <c r="B64" i="100"/>
  <c r="Z50" i="100"/>
  <c r="I161" i="33"/>
  <c r="I171" i="33" s="1"/>
  <c r="I176" i="33" s="1"/>
  <c r="I170" i="33"/>
  <c r="J134" i="101" l="1"/>
  <c r="J136" i="101" s="1"/>
  <c r="J169" i="101" s="1"/>
  <c r="O133" i="101"/>
  <c r="O44" i="101"/>
  <c r="P34" i="101" s="1"/>
  <c r="B73" i="102"/>
  <c r="AB12" i="102"/>
  <c r="B69" i="102"/>
  <c r="B75" i="102" s="1"/>
  <c r="B76" i="102" s="1"/>
  <c r="AB51" i="102"/>
  <c r="AB50" i="100"/>
  <c r="K12" i="100"/>
  <c r="I44" i="85"/>
  <c r="B67" i="100"/>
  <c r="B69" i="100"/>
  <c r="B68" i="100"/>
  <c r="AD50" i="100"/>
  <c r="B66" i="100"/>
  <c r="P14" i="101" l="1"/>
  <c r="P26" i="101"/>
  <c r="P15" i="101"/>
  <c r="P27" i="101"/>
  <c r="P28" i="101"/>
  <c r="P16" i="101"/>
  <c r="P17" i="101"/>
  <c r="P29" i="101"/>
  <c r="P18" i="101"/>
  <c r="P30" i="101"/>
  <c r="P19" i="101"/>
  <c r="P20" i="101"/>
  <c r="P21" i="101"/>
  <c r="P22" i="101"/>
  <c r="P23" i="101"/>
  <c r="P24" i="101"/>
  <c r="P25" i="101"/>
  <c r="P10" i="101"/>
  <c r="P40" i="101"/>
  <c r="P41" i="101"/>
  <c r="P42" i="101"/>
  <c r="P39" i="101"/>
  <c r="P36" i="101"/>
  <c r="P31" i="101"/>
  <c r="P9" i="101"/>
  <c r="P13" i="101"/>
  <c r="J170" i="101"/>
  <c r="I131" i="101"/>
  <c r="I134" i="101" s="1"/>
  <c r="AB12" i="100"/>
  <c r="P37" i="101"/>
  <c r="B70" i="100"/>
  <c r="B71" i="100" s="1"/>
  <c r="P11" i="101" l="1"/>
  <c r="P43" i="101"/>
  <c r="P32" i="101"/>
  <c r="I136" i="101"/>
  <c r="I169" i="101" s="1"/>
  <c r="I170" i="101" l="1"/>
  <c r="P44" i="101"/>
  <c r="O14" i="85" l="1"/>
  <c r="O15" i="85"/>
  <c r="O16" i="85"/>
  <c r="O18" i="85"/>
  <c r="O19" i="85"/>
  <c r="O20" i="85"/>
  <c r="O21" i="85"/>
  <c r="O22" i="85"/>
  <c r="O23" i="85"/>
  <c r="O24" i="85"/>
  <c r="O28" i="85"/>
  <c r="O29" i="85"/>
  <c r="O36" i="85"/>
  <c r="O37" i="85"/>
  <c r="O38" i="85"/>
  <c r="H132" i="85"/>
  <c r="H10" i="85"/>
  <c r="H9" i="85"/>
  <c r="G137" i="45"/>
  <c r="G138" i="45" s="1"/>
  <c r="C138" i="45"/>
  <c r="D138" i="45"/>
  <c r="E138" i="45"/>
  <c r="F138" i="45"/>
  <c r="B45" i="99" l="1"/>
  <c r="G111" i="45"/>
  <c r="N137" i="45"/>
  <c r="N128" i="45"/>
  <c r="N82" i="45"/>
  <c r="N83" i="45"/>
  <c r="N84" i="45"/>
  <c r="N85" i="45"/>
  <c r="N86" i="45"/>
  <c r="N87" i="45"/>
  <c r="N88" i="45"/>
  <c r="N89" i="45"/>
  <c r="N90" i="45"/>
  <c r="N91" i="45"/>
  <c r="N92" i="45"/>
  <c r="N93" i="45"/>
  <c r="N94" i="45"/>
  <c r="N95" i="45"/>
  <c r="N96" i="45"/>
  <c r="N97" i="45"/>
  <c r="N98" i="45"/>
  <c r="N99" i="45"/>
  <c r="N100" i="45"/>
  <c r="N101" i="45"/>
  <c r="N102" i="45"/>
  <c r="N103" i="45"/>
  <c r="N104" i="45"/>
  <c r="N105" i="45"/>
  <c r="N106" i="45"/>
  <c r="N107" i="45"/>
  <c r="N108" i="45"/>
  <c r="N109" i="45"/>
  <c r="N110" i="45"/>
  <c r="N111" i="45"/>
  <c r="N112" i="45"/>
  <c r="N113" i="45"/>
  <c r="N114" i="45"/>
  <c r="N115" i="45"/>
  <c r="N14" i="45"/>
  <c r="N15" i="45"/>
  <c r="N16" i="45"/>
  <c r="N17" i="45"/>
  <c r="N18" i="45"/>
  <c r="N19" i="45"/>
  <c r="N20" i="45"/>
  <c r="N21" i="45"/>
  <c r="N22" i="45"/>
  <c r="N23" i="45"/>
  <c r="N24" i="45"/>
  <c r="N25" i="45"/>
  <c r="N26" i="45"/>
  <c r="N27" i="45"/>
  <c r="N28" i="45"/>
  <c r="N29" i="45"/>
  <c r="B57" i="99"/>
  <c r="D57" i="99" s="1"/>
  <c r="I9" i="78" s="1"/>
  <c r="B38" i="99"/>
  <c r="D38" i="99" s="1"/>
  <c r="B11" i="99"/>
  <c r="B10" i="99"/>
  <c r="B9" i="99"/>
  <c r="R9" i="99" s="1"/>
  <c r="B8" i="99"/>
  <c r="B7" i="99"/>
  <c r="B6" i="99"/>
  <c r="B5" i="99"/>
  <c r="G62" i="99"/>
  <c r="B62" i="99"/>
  <c r="G120" i="45" s="1"/>
  <c r="G61" i="99"/>
  <c r="F61" i="99"/>
  <c r="H61" i="99" s="1"/>
  <c r="D61" i="99"/>
  <c r="G60" i="99"/>
  <c r="F60" i="99"/>
  <c r="D60" i="99"/>
  <c r="G59" i="99"/>
  <c r="F59" i="99"/>
  <c r="D59" i="99"/>
  <c r="G58" i="99"/>
  <c r="F58" i="99"/>
  <c r="D58" i="99"/>
  <c r="G57" i="99"/>
  <c r="F57" i="99"/>
  <c r="I28" i="78" s="1"/>
  <c r="G56" i="99"/>
  <c r="F56" i="99"/>
  <c r="D56" i="99"/>
  <c r="I7" i="78" s="1"/>
  <c r="G55" i="99"/>
  <c r="F55" i="99"/>
  <c r="D55" i="99"/>
  <c r="G54" i="99"/>
  <c r="F54" i="99"/>
  <c r="I24" i="78" s="1"/>
  <c r="D54" i="99"/>
  <c r="I5" i="78" s="1"/>
  <c r="AC50" i="99"/>
  <c r="AC49" i="99"/>
  <c r="Z49" i="99"/>
  <c r="W49" i="99"/>
  <c r="U49" i="99"/>
  <c r="R49" i="99"/>
  <c r="P49" i="99"/>
  <c r="S49" i="99" s="1"/>
  <c r="M49" i="99"/>
  <c r="N49" i="99" s="1"/>
  <c r="J49" i="99"/>
  <c r="H49" i="99"/>
  <c r="F49" i="99"/>
  <c r="D49" i="99"/>
  <c r="AC48" i="99"/>
  <c r="Z48" i="99"/>
  <c r="W48" i="99"/>
  <c r="U48" i="99"/>
  <c r="R48" i="99"/>
  <c r="P48" i="99"/>
  <c r="M48" i="99"/>
  <c r="N48" i="99" s="1"/>
  <c r="J48" i="99"/>
  <c r="H48" i="99"/>
  <c r="F48" i="99"/>
  <c r="D48" i="99"/>
  <c r="AC47" i="99"/>
  <c r="Z47" i="99"/>
  <c r="W47" i="99"/>
  <c r="R47" i="99"/>
  <c r="P47" i="99"/>
  <c r="M47" i="99"/>
  <c r="N47" i="99" s="1"/>
  <c r="J47" i="99"/>
  <c r="H47" i="99"/>
  <c r="F47" i="99"/>
  <c r="D47" i="99"/>
  <c r="AC46" i="99"/>
  <c r="Z46" i="99"/>
  <c r="W46" i="99"/>
  <c r="U46" i="99"/>
  <c r="R46" i="99"/>
  <c r="P46" i="99"/>
  <c r="S46" i="99" s="1"/>
  <c r="M46" i="99"/>
  <c r="N46" i="99" s="1"/>
  <c r="J46" i="99"/>
  <c r="H46" i="99"/>
  <c r="F46" i="99"/>
  <c r="D46" i="99"/>
  <c r="AC45" i="99"/>
  <c r="W45" i="99"/>
  <c r="U45" i="99"/>
  <c r="M45" i="99"/>
  <c r="N45" i="99" s="1"/>
  <c r="H45" i="99"/>
  <c r="R45" i="99"/>
  <c r="AC44" i="99"/>
  <c r="Z44" i="99"/>
  <c r="W44" i="99"/>
  <c r="U44" i="99"/>
  <c r="R44" i="99"/>
  <c r="P44" i="99"/>
  <c r="M44" i="99"/>
  <c r="N44" i="99" s="1"/>
  <c r="J44" i="99"/>
  <c r="H44" i="99"/>
  <c r="F44" i="99"/>
  <c r="D44" i="99"/>
  <c r="AC43" i="99"/>
  <c r="Z43" i="99"/>
  <c r="W43" i="99"/>
  <c r="U43" i="99"/>
  <c r="R43" i="99"/>
  <c r="P43" i="99"/>
  <c r="S43" i="99" s="1"/>
  <c r="M43" i="99"/>
  <c r="N43" i="99" s="1"/>
  <c r="J43" i="99"/>
  <c r="H43" i="99"/>
  <c r="F43" i="99"/>
  <c r="D43" i="99"/>
  <c r="AC42" i="99"/>
  <c r="Z42" i="99"/>
  <c r="W42" i="99"/>
  <c r="U42" i="99"/>
  <c r="R42" i="99"/>
  <c r="P42" i="99"/>
  <c r="M42" i="99"/>
  <c r="N42" i="99" s="1"/>
  <c r="J42" i="99"/>
  <c r="H42" i="99"/>
  <c r="F42" i="99"/>
  <c r="D42" i="99"/>
  <c r="AC41" i="99"/>
  <c r="W41" i="99"/>
  <c r="R41" i="99"/>
  <c r="J41" i="99"/>
  <c r="H41" i="99"/>
  <c r="F41" i="99"/>
  <c r="D41" i="99"/>
  <c r="Z41" i="99"/>
  <c r="AC40" i="99"/>
  <c r="R40" i="99"/>
  <c r="P40" i="99"/>
  <c r="M40" i="99"/>
  <c r="N40" i="99" s="1"/>
  <c r="J40" i="99"/>
  <c r="D40" i="99"/>
  <c r="H40" i="99"/>
  <c r="AC39" i="99"/>
  <c r="W39" i="99"/>
  <c r="AC38" i="99"/>
  <c r="R38" i="99"/>
  <c r="AC37" i="99"/>
  <c r="Z37" i="99"/>
  <c r="W37" i="99"/>
  <c r="U37" i="99"/>
  <c r="R37" i="99"/>
  <c r="P37" i="99"/>
  <c r="S37" i="99" s="1"/>
  <c r="M37" i="99"/>
  <c r="N37" i="99" s="1"/>
  <c r="J37" i="99"/>
  <c r="H37" i="99"/>
  <c r="F37" i="99"/>
  <c r="D37" i="99"/>
  <c r="AC36" i="99"/>
  <c r="Z36" i="99"/>
  <c r="W36" i="99"/>
  <c r="U36" i="99"/>
  <c r="R36" i="99"/>
  <c r="P36" i="99"/>
  <c r="S36" i="99" s="1"/>
  <c r="M36" i="99"/>
  <c r="N36" i="99" s="1"/>
  <c r="J36" i="99"/>
  <c r="H36" i="99"/>
  <c r="F36" i="99"/>
  <c r="D36" i="99"/>
  <c r="AC35" i="99"/>
  <c r="Z35" i="99"/>
  <c r="W35" i="99"/>
  <c r="U35" i="99"/>
  <c r="R35" i="99"/>
  <c r="P35" i="99"/>
  <c r="M35" i="99"/>
  <c r="N35" i="99" s="1"/>
  <c r="J35" i="99"/>
  <c r="H35" i="99"/>
  <c r="F35" i="99"/>
  <c r="D35" i="99"/>
  <c r="AC34" i="99"/>
  <c r="Z34" i="99"/>
  <c r="W34" i="99"/>
  <c r="U34" i="99"/>
  <c r="R34" i="99"/>
  <c r="P34" i="99"/>
  <c r="M34" i="99"/>
  <c r="N34" i="99" s="1"/>
  <c r="J34" i="99"/>
  <c r="H34" i="99"/>
  <c r="F34" i="99"/>
  <c r="D34" i="99"/>
  <c r="AC33" i="99"/>
  <c r="Z33" i="99"/>
  <c r="W33" i="99"/>
  <c r="U33" i="99"/>
  <c r="R33" i="99"/>
  <c r="P33" i="99"/>
  <c r="M33" i="99"/>
  <c r="N33" i="99" s="1"/>
  <c r="J33" i="99"/>
  <c r="H33" i="99"/>
  <c r="F33" i="99"/>
  <c r="D33" i="99"/>
  <c r="AC32" i="99"/>
  <c r="Z32" i="99"/>
  <c r="W32" i="99"/>
  <c r="U32" i="99"/>
  <c r="R32" i="99"/>
  <c r="P32" i="99"/>
  <c r="S32" i="99" s="1"/>
  <c r="M32" i="99"/>
  <c r="N32" i="99" s="1"/>
  <c r="J32" i="99"/>
  <c r="H32" i="99"/>
  <c r="F32" i="99"/>
  <c r="D32" i="99"/>
  <c r="AC31" i="99"/>
  <c r="Z31" i="99"/>
  <c r="W31" i="99"/>
  <c r="U31" i="99"/>
  <c r="R31" i="99"/>
  <c r="P31" i="99"/>
  <c r="M31" i="99"/>
  <c r="N31" i="99" s="1"/>
  <c r="J31" i="99"/>
  <c r="H31" i="99"/>
  <c r="F31" i="99"/>
  <c r="D31" i="99"/>
  <c r="AC30" i="99"/>
  <c r="Z30" i="99"/>
  <c r="W30" i="99"/>
  <c r="U30" i="99"/>
  <c r="R30" i="99"/>
  <c r="P30" i="99"/>
  <c r="S30" i="99" s="1"/>
  <c r="M30" i="99"/>
  <c r="N30" i="99" s="1"/>
  <c r="J30" i="99"/>
  <c r="H30" i="99"/>
  <c r="F30" i="99"/>
  <c r="D30" i="99"/>
  <c r="AC29" i="99"/>
  <c r="Z29" i="99"/>
  <c r="W29" i="99"/>
  <c r="U29" i="99"/>
  <c r="R29" i="99"/>
  <c r="P29" i="99"/>
  <c r="M29" i="99"/>
  <c r="N29" i="99" s="1"/>
  <c r="J29" i="99"/>
  <c r="H29" i="99"/>
  <c r="F29" i="99"/>
  <c r="D29" i="99"/>
  <c r="AC28" i="99"/>
  <c r="Z28" i="99"/>
  <c r="W28" i="99"/>
  <c r="U28" i="99"/>
  <c r="R28" i="99"/>
  <c r="P28" i="99"/>
  <c r="S28" i="99" s="1"/>
  <c r="M28" i="99"/>
  <c r="N28" i="99" s="1"/>
  <c r="J28" i="99"/>
  <c r="H28" i="99"/>
  <c r="F28" i="99"/>
  <c r="D28" i="99"/>
  <c r="AC27" i="99"/>
  <c r="F27" i="99"/>
  <c r="D27" i="99"/>
  <c r="Z27" i="99"/>
  <c r="AC26" i="99"/>
  <c r="Z26" i="99"/>
  <c r="W26" i="99"/>
  <c r="U26" i="99"/>
  <c r="R26" i="99"/>
  <c r="P26" i="99"/>
  <c r="M26" i="99"/>
  <c r="N26" i="99" s="1"/>
  <c r="J26" i="99"/>
  <c r="H26" i="99"/>
  <c r="F26" i="99"/>
  <c r="D26" i="99"/>
  <c r="AC25" i="99"/>
  <c r="Z25" i="99"/>
  <c r="W25" i="99"/>
  <c r="U25" i="99"/>
  <c r="R25" i="99"/>
  <c r="P25" i="99"/>
  <c r="S25" i="99" s="1"/>
  <c r="M25" i="99"/>
  <c r="N25" i="99" s="1"/>
  <c r="J25" i="99"/>
  <c r="H25" i="99"/>
  <c r="F25" i="99"/>
  <c r="D25" i="99"/>
  <c r="AC24" i="99"/>
  <c r="Z24" i="99"/>
  <c r="W24" i="99"/>
  <c r="U24" i="99"/>
  <c r="R24" i="99"/>
  <c r="P24" i="99"/>
  <c r="M24" i="99"/>
  <c r="N24" i="99" s="1"/>
  <c r="J24" i="99"/>
  <c r="H24" i="99"/>
  <c r="F24" i="99"/>
  <c r="D24" i="99"/>
  <c r="AC23" i="99"/>
  <c r="P23" i="99"/>
  <c r="M23" i="99"/>
  <c r="N23" i="99" s="1"/>
  <c r="H23" i="99"/>
  <c r="J23" i="99"/>
  <c r="AC22" i="99"/>
  <c r="Z22" i="99"/>
  <c r="W22" i="99"/>
  <c r="U22" i="99"/>
  <c r="R22" i="99"/>
  <c r="P22" i="99"/>
  <c r="M22" i="99"/>
  <c r="N22" i="99" s="1"/>
  <c r="J22" i="99"/>
  <c r="H22" i="99"/>
  <c r="F22" i="99"/>
  <c r="D22" i="99"/>
  <c r="AC21" i="99"/>
  <c r="Z21" i="99"/>
  <c r="W21" i="99"/>
  <c r="U21" i="99"/>
  <c r="R21" i="99"/>
  <c r="P21" i="99"/>
  <c r="S21" i="99" s="1"/>
  <c r="M21" i="99"/>
  <c r="N21" i="99" s="1"/>
  <c r="J21" i="99"/>
  <c r="H21" i="99"/>
  <c r="F21" i="99"/>
  <c r="D21" i="99"/>
  <c r="AC20" i="99"/>
  <c r="Z20" i="99"/>
  <c r="W20" i="99"/>
  <c r="U20" i="99"/>
  <c r="R20" i="99"/>
  <c r="P20" i="99"/>
  <c r="M20" i="99"/>
  <c r="N20" i="99" s="1"/>
  <c r="J20" i="99"/>
  <c r="H20" i="99"/>
  <c r="F20" i="99"/>
  <c r="D20" i="99"/>
  <c r="AC19" i="99"/>
  <c r="W19" i="99"/>
  <c r="U19" i="99"/>
  <c r="AC18" i="99"/>
  <c r="Z18" i="99"/>
  <c r="W18" i="99"/>
  <c r="U18" i="99"/>
  <c r="R18" i="99"/>
  <c r="P18" i="99"/>
  <c r="M18" i="99"/>
  <c r="N18" i="99" s="1"/>
  <c r="J18" i="99"/>
  <c r="H18" i="99"/>
  <c r="F18" i="99"/>
  <c r="D18" i="99"/>
  <c r="AC17" i="99"/>
  <c r="W17" i="99"/>
  <c r="U17" i="99"/>
  <c r="R17" i="99"/>
  <c r="P17" i="99"/>
  <c r="H17" i="99"/>
  <c r="F17" i="99"/>
  <c r="AC16" i="99"/>
  <c r="Z16" i="99"/>
  <c r="W16" i="99"/>
  <c r="U16" i="99"/>
  <c r="R16" i="99"/>
  <c r="P16" i="99"/>
  <c r="M16" i="99"/>
  <c r="N16" i="99" s="1"/>
  <c r="J16" i="99"/>
  <c r="H16" i="99"/>
  <c r="F16" i="99"/>
  <c r="D16" i="99"/>
  <c r="AC12" i="99"/>
  <c r="V11" i="99"/>
  <c r="T11" i="99"/>
  <c r="Q11" i="99"/>
  <c r="L11" i="99"/>
  <c r="I11" i="99"/>
  <c r="G11" i="99"/>
  <c r="E11" i="99"/>
  <c r="C11" i="99"/>
  <c r="V10" i="99"/>
  <c r="W10" i="99" s="1"/>
  <c r="T10" i="99"/>
  <c r="U10" i="99" s="1"/>
  <c r="Q10" i="99"/>
  <c r="R10" i="99" s="1"/>
  <c r="L10" i="99"/>
  <c r="M10" i="99" s="1"/>
  <c r="N10" i="99" s="1"/>
  <c r="I10" i="99"/>
  <c r="G10" i="99"/>
  <c r="H10" i="99" s="1"/>
  <c r="E10" i="99"/>
  <c r="F10" i="99" s="1"/>
  <c r="C10" i="99"/>
  <c r="V9" i="99"/>
  <c r="T9" i="99"/>
  <c r="Q9" i="99"/>
  <c r="L9" i="99"/>
  <c r="M9" i="99" s="1"/>
  <c r="N9" i="99" s="1"/>
  <c r="I9" i="99"/>
  <c r="G9" i="99"/>
  <c r="E9" i="99"/>
  <c r="C9" i="99"/>
  <c r="AC8" i="99"/>
  <c r="P8" i="99"/>
  <c r="M8" i="99"/>
  <c r="N8" i="99" s="1"/>
  <c r="J8" i="99"/>
  <c r="Y7" i="99"/>
  <c r="Z7" i="99" s="1"/>
  <c r="V7" i="99"/>
  <c r="W7" i="99" s="1"/>
  <c r="T7" i="99"/>
  <c r="Q7" i="99"/>
  <c r="R7" i="99" s="1"/>
  <c r="O7" i="99"/>
  <c r="P7" i="99" s="1"/>
  <c r="L7" i="99"/>
  <c r="M7" i="99" s="1"/>
  <c r="N7" i="99" s="1"/>
  <c r="I7" i="99"/>
  <c r="J7" i="99" s="1"/>
  <c r="G7" i="99"/>
  <c r="H7" i="99" s="1"/>
  <c r="E7" i="99"/>
  <c r="F7" i="99" s="1"/>
  <c r="C7" i="99"/>
  <c r="D7" i="99" s="1"/>
  <c r="Y6" i="99"/>
  <c r="V6" i="99"/>
  <c r="T6" i="99"/>
  <c r="Q6" i="99"/>
  <c r="O6" i="99"/>
  <c r="L6" i="99"/>
  <c r="I6" i="99"/>
  <c r="J6" i="99" s="1"/>
  <c r="G6" i="99"/>
  <c r="E6" i="99"/>
  <c r="C6" i="99"/>
  <c r="Y5" i="99"/>
  <c r="V5" i="99"/>
  <c r="T5" i="99"/>
  <c r="Q5" i="99"/>
  <c r="O5" i="99"/>
  <c r="L5" i="99"/>
  <c r="I5" i="99"/>
  <c r="G5" i="99"/>
  <c r="E5" i="99"/>
  <c r="C5" i="99"/>
  <c r="D131" i="33"/>
  <c r="D132" i="33"/>
  <c r="D133" i="33"/>
  <c r="D134" i="33"/>
  <c r="E131" i="33"/>
  <c r="E132" i="33"/>
  <c r="E133" i="33"/>
  <c r="E134" i="33"/>
  <c r="H131" i="33"/>
  <c r="H132" i="33"/>
  <c r="H133" i="33"/>
  <c r="H134" i="33"/>
  <c r="G131" i="33"/>
  <c r="G132" i="33"/>
  <c r="G133" i="33"/>
  <c r="H141" i="33"/>
  <c r="H142" i="33"/>
  <c r="H143" i="33"/>
  <c r="H140" i="33"/>
  <c r="G141" i="33"/>
  <c r="G142" i="33"/>
  <c r="G143" i="33"/>
  <c r="E141" i="33"/>
  <c r="E142" i="33"/>
  <c r="E143" i="33"/>
  <c r="D141" i="33"/>
  <c r="D142" i="33"/>
  <c r="D143" i="33"/>
  <c r="D140" i="33"/>
  <c r="D150" i="33"/>
  <c r="D149" i="33"/>
  <c r="D148" i="33"/>
  <c r="G140" i="33"/>
  <c r="E140" i="33"/>
  <c r="C135" i="33"/>
  <c r="B135" i="33"/>
  <c r="H130" i="33"/>
  <c r="G130" i="33"/>
  <c r="E130" i="33"/>
  <c r="D130" i="33"/>
  <c r="S7" i="99" l="1"/>
  <c r="S18" i="99"/>
  <c r="S22" i="99"/>
  <c r="S33" i="99"/>
  <c r="S44" i="99"/>
  <c r="S17" i="99"/>
  <c r="S20" i="99"/>
  <c r="S26" i="99"/>
  <c r="S31" i="99"/>
  <c r="S42" i="99"/>
  <c r="K46" i="99"/>
  <c r="AD46" i="99" s="1"/>
  <c r="S48" i="99"/>
  <c r="H60" i="99"/>
  <c r="S24" i="99"/>
  <c r="S29" i="99"/>
  <c r="S47" i="99"/>
  <c r="W9" i="99"/>
  <c r="H11" i="99"/>
  <c r="S16" i="99"/>
  <c r="F11" i="99"/>
  <c r="S8" i="99"/>
  <c r="M11" i="99"/>
  <c r="N11" i="99" s="1"/>
  <c r="K35" i="99"/>
  <c r="R11" i="99"/>
  <c r="U11" i="99"/>
  <c r="K26" i="99"/>
  <c r="S35" i="99"/>
  <c r="S40" i="99"/>
  <c r="W11" i="99"/>
  <c r="S34" i="99"/>
  <c r="AC10" i="99"/>
  <c r="Z5" i="99"/>
  <c r="AC9" i="99"/>
  <c r="K32" i="99"/>
  <c r="W6" i="99"/>
  <c r="K29" i="99"/>
  <c r="H59" i="99"/>
  <c r="H117" i="85"/>
  <c r="AC11" i="99"/>
  <c r="H56" i="99"/>
  <c r="I26" i="78"/>
  <c r="D11" i="99"/>
  <c r="AC6" i="99"/>
  <c r="AC5" i="99"/>
  <c r="D10" i="99"/>
  <c r="AD29" i="99"/>
  <c r="K44" i="99"/>
  <c r="K49" i="99"/>
  <c r="K42" i="99"/>
  <c r="H57" i="99"/>
  <c r="F38" i="99"/>
  <c r="H38" i="99"/>
  <c r="M38" i="99"/>
  <c r="N38" i="99" s="1"/>
  <c r="P38" i="99"/>
  <c r="S38" i="99" s="1"/>
  <c r="U38" i="99"/>
  <c r="J38" i="99"/>
  <c r="W38" i="99"/>
  <c r="Z38" i="99"/>
  <c r="B50" i="99"/>
  <c r="K21" i="99"/>
  <c r="D62" i="99"/>
  <c r="H58" i="99"/>
  <c r="H54" i="99"/>
  <c r="H55" i="99"/>
  <c r="K18" i="99"/>
  <c r="AD18" i="99" s="1"/>
  <c r="AD26" i="99"/>
  <c r="K43" i="99"/>
  <c r="K22" i="99"/>
  <c r="AD22" i="99" s="1"/>
  <c r="K48" i="99"/>
  <c r="AD32" i="99"/>
  <c r="K20" i="99"/>
  <c r="K47" i="99"/>
  <c r="AD21" i="99"/>
  <c r="K24" i="99"/>
  <c r="K41" i="99"/>
  <c r="K25" i="99"/>
  <c r="K28" i="99"/>
  <c r="K30" i="99"/>
  <c r="K31" i="99"/>
  <c r="K33" i="99"/>
  <c r="K34" i="99"/>
  <c r="K36" i="99"/>
  <c r="K37" i="99"/>
  <c r="K7" i="99"/>
  <c r="M6" i="99"/>
  <c r="N6" i="99" s="1"/>
  <c r="P6" i="99"/>
  <c r="S6" i="99" s="1"/>
  <c r="R6" i="99"/>
  <c r="Z6" i="99"/>
  <c r="M5" i="99"/>
  <c r="P5" i="99"/>
  <c r="R5" i="99"/>
  <c r="W5" i="99"/>
  <c r="U5" i="99"/>
  <c r="R8" i="99"/>
  <c r="D19" i="99"/>
  <c r="R23" i="99"/>
  <c r="S23" i="99" s="1"/>
  <c r="H27" i="99"/>
  <c r="F39" i="99"/>
  <c r="F62" i="99"/>
  <c r="F9" i="99"/>
  <c r="H9" i="99"/>
  <c r="F19" i="99"/>
  <c r="J27" i="99"/>
  <c r="H39" i="99"/>
  <c r="U40" i="99"/>
  <c r="Z45" i="99"/>
  <c r="W8" i="99"/>
  <c r="Z9" i="99"/>
  <c r="J10" i="99"/>
  <c r="K10" i="99" s="1"/>
  <c r="Z10" i="99"/>
  <c r="J11" i="99"/>
  <c r="Z11" i="99"/>
  <c r="K16" i="99"/>
  <c r="Z17" i="99"/>
  <c r="H19" i="99"/>
  <c r="U23" i="99"/>
  <c r="J39" i="99"/>
  <c r="W40" i="99"/>
  <c r="M41" i="99"/>
  <c r="N41" i="99" s="1"/>
  <c r="D45" i="99"/>
  <c r="D5" i="99"/>
  <c r="F5" i="99"/>
  <c r="D6" i="99"/>
  <c r="AC7" i="99"/>
  <c r="Z8" i="99"/>
  <c r="J9" i="99"/>
  <c r="D17" i="99"/>
  <c r="J19" i="99"/>
  <c r="W23" i="99"/>
  <c r="M27" i="99"/>
  <c r="N27" i="99" s="1"/>
  <c r="Z40" i="99"/>
  <c r="P41" i="99"/>
  <c r="S41" i="99" s="1"/>
  <c r="F45" i="99"/>
  <c r="Z23" i="99"/>
  <c r="P27" i="99"/>
  <c r="M39" i="99"/>
  <c r="N39" i="99" s="1"/>
  <c r="F6" i="99"/>
  <c r="D8" i="99"/>
  <c r="M19" i="99"/>
  <c r="N19" i="99" s="1"/>
  <c r="D23" i="99"/>
  <c r="R27" i="99"/>
  <c r="P39" i="99"/>
  <c r="F40" i="99"/>
  <c r="K40" i="99" s="1"/>
  <c r="J45" i="99"/>
  <c r="F8" i="99"/>
  <c r="P10" i="99"/>
  <c r="S10" i="99" s="1"/>
  <c r="P11" i="99"/>
  <c r="S11" i="99" s="1"/>
  <c r="B12" i="99"/>
  <c r="J17" i="99"/>
  <c r="K17" i="99" s="1"/>
  <c r="P19" i="99"/>
  <c r="S19" i="99" s="1"/>
  <c r="F23" i="99"/>
  <c r="K23" i="99" s="1"/>
  <c r="R39" i="99"/>
  <c r="U41" i="99"/>
  <c r="D39" i="99"/>
  <c r="H5" i="99"/>
  <c r="H6" i="99"/>
  <c r="P9" i="99"/>
  <c r="S9" i="99" s="1"/>
  <c r="R19" i="99"/>
  <c r="U27" i="99"/>
  <c r="J5" i="99"/>
  <c r="U6" i="99"/>
  <c r="H8" i="99"/>
  <c r="M17" i="99"/>
  <c r="N17" i="99" s="1"/>
  <c r="W27" i="99"/>
  <c r="U39" i="99"/>
  <c r="P45" i="99"/>
  <c r="S45" i="99" s="1"/>
  <c r="Z39" i="99"/>
  <c r="Z19" i="99"/>
  <c r="D9" i="99"/>
  <c r="H144" i="33"/>
  <c r="I140" i="33"/>
  <c r="I143" i="33"/>
  <c r="E144" i="33"/>
  <c r="I134" i="33"/>
  <c r="I131" i="33"/>
  <c r="I132" i="33"/>
  <c r="I133" i="33"/>
  <c r="I142" i="33"/>
  <c r="G144" i="33"/>
  <c r="I141" i="33"/>
  <c r="G135" i="33"/>
  <c r="H135" i="33"/>
  <c r="E135" i="33"/>
  <c r="D144" i="33"/>
  <c r="I130" i="33"/>
  <c r="D135" i="33"/>
  <c r="G35" i="85"/>
  <c r="G32" i="85"/>
  <c r="G27" i="85"/>
  <c r="O27" i="85" s="1"/>
  <c r="G26" i="85"/>
  <c r="O26" i="85" s="1"/>
  <c r="G25" i="85"/>
  <c r="O25" i="85" s="1"/>
  <c r="G17" i="85"/>
  <c r="O17" i="85" s="1"/>
  <c r="G13" i="85"/>
  <c r="G10" i="85"/>
  <c r="G9" i="85"/>
  <c r="N45" i="45"/>
  <c r="N46" i="45"/>
  <c r="N47" i="45"/>
  <c r="N48" i="45"/>
  <c r="N49" i="45"/>
  <c r="N50" i="45"/>
  <c r="N51" i="45"/>
  <c r="N52" i="45"/>
  <c r="N53" i="45"/>
  <c r="N54" i="45"/>
  <c r="N55" i="45"/>
  <c r="N56" i="45"/>
  <c r="N57" i="45"/>
  <c r="N58" i="45"/>
  <c r="N59" i="45"/>
  <c r="N60" i="45"/>
  <c r="N61" i="45"/>
  <c r="N62" i="45"/>
  <c r="N63" i="45"/>
  <c r="N64" i="45"/>
  <c r="N65" i="45"/>
  <c r="N66" i="45"/>
  <c r="N67" i="45"/>
  <c r="N68" i="45"/>
  <c r="N69" i="45"/>
  <c r="N70" i="45"/>
  <c r="N71" i="45"/>
  <c r="N72" i="45"/>
  <c r="N73" i="45"/>
  <c r="N74" i="45"/>
  <c r="N75" i="45"/>
  <c r="N76" i="45"/>
  <c r="N77" i="45"/>
  <c r="N78" i="45"/>
  <c r="M42" i="98"/>
  <c r="N42" i="98" s="1"/>
  <c r="M43" i="98"/>
  <c r="N43" i="98" s="1"/>
  <c r="M44" i="98"/>
  <c r="N44" i="98" s="1"/>
  <c r="M45" i="98"/>
  <c r="N45" i="98" s="1"/>
  <c r="M46" i="98"/>
  <c r="N46" i="98" s="1"/>
  <c r="M47" i="98"/>
  <c r="N47" i="98" s="1"/>
  <c r="M48" i="98"/>
  <c r="N48" i="98" s="1"/>
  <c r="B41" i="98"/>
  <c r="B39" i="98"/>
  <c r="B40" i="98"/>
  <c r="B45" i="98"/>
  <c r="B27" i="98"/>
  <c r="B19" i="98"/>
  <c r="B23" i="98"/>
  <c r="B17" i="98"/>
  <c r="S39" i="99" l="1"/>
  <c r="AD36" i="99"/>
  <c r="AD16" i="99"/>
  <c r="S5" i="99"/>
  <c r="AD44" i="99"/>
  <c r="M12" i="99"/>
  <c r="N12" i="99" s="1"/>
  <c r="N5" i="99"/>
  <c r="AD33" i="99"/>
  <c r="K11" i="99"/>
  <c r="S27" i="99"/>
  <c r="AD28" i="99"/>
  <c r="K38" i="99"/>
  <c r="AD40" i="99"/>
  <c r="AD31" i="99"/>
  <c r="AD30" i="99"/>
  <c r="AD48" i="99"/>
  <c r="J12" i="99"/>
  <c r="K9" i="99"/>
  <c r="AD47" i="99"/>
  <c r="AD25" i="99"/>
  <c r="AD42" i="99"/>
  <c r="AD20" i="99"/>
  <c r="AD35" i="99"/>
  <c r="AD49" i="99"/>
  <c r="AD34" i="99"/>
  <c r="H50" i="99"/>
  <c r="H62" i="99"/>
  <c r="AD43" i="99"/>
  <c r="B64" i="99"/>
  <c r="P50" i="99"/>
  <c r="S50" i="99" s="1"/>
  <c r="AD38" i="99"/>
  <c r="AD24" i="99"/>
  <c r="AD17" i="99"/>
  <c r="U50" i="99"/>
  <c r="AD37" i="99"/>
  <c r="D50" i="99"/>
  <c r="Z50" i="99"/>
  <c r="G132" i="45" s="1"/>
  <c r="F50" i="99"/>
  <c r="M50" i="99"/>
  <c r="N50" i="99" s="1"/>
  <c r="W50" i="99"/>
  <c r="R50" i="99"/>
  <c r="K27" i="99"/>
  <c r="Z12" i="99"/>
  <c r="K8" i="99"/>
  <c r="H12" i="99"/>
  <c r="P12" i="99"/>
  <c r="S12" i="99" s="1"/>
  <c r="F12" i="99"/>
  <c r="K5" i="99"/>
  <c r="K45" i="99"/>
  <c r="AD45" i="99" s="1"/>
  <c r="D12" i="99"/>
  <c r="G44" i="45" s="1"/>
  <c r="G79" i="45" s="1"/>
  <c r="K39" i="99"/>
  <c r="AD41" i="99"/>
  <c r="W12" i="99"/>
  <c r="R12" i="99"/>
  <c r="G81" i="45"/>
  <c r="G116" i="45" s="1"/>
  <c r="AD23" i="99"/>
  <c r="J50" i="99"/>
  <c r="U12" i="99"/>
  <c r="K6" i="99"/>
  <c r="K19" i="99"/>
  <c r="I144" i="33"/>
  <c r="I135" i="33"/>
  <c r="B11" i="98"/>
  <c r="B10" i="98"/>
  <c r="B9" i="98"/>
  <c r="B8" i="98"/>
  <c r="B7" i="98"/>
  <c r="B6" i="98"/>
  <c r="B5" i="98"/>
  <c r="H117" i="33"/>
  <c r="G116" i="33"/>
  <c r="G117" i="33"/>
  <c r="G118" i="33"/>
  <c r="E116" i="33"/>
  <c r="E117" i="33"/>
  <c r="E118" i="33"/>
  <c r="D116" i="33"/>
  <c r="D117" i="33"/>
  <c r="D118" i="33"/>
  <c r="I106" i="33"/>
  <c r="I107" i="33"/>
  <c r="I108" i="33"/>
  <c r="I109" i="33"/>
  <c r="H106" i="33"/>
  <c r="H107" i="33"/>
  <c r="H109" i="33"/>
  <c r="G106" i="33"/>
  <c r="G107" i="33"/>
  <c r="G108" i="33"/>
  <c r="E106" i="33"/>
  <c r="E107" i="33"/>
  <c r="E109" i="33"/>
  <c r="D106" i="33"/>
  <c r="D107" i="33"/>
  <c r="D109" i="33"/>
  <c r="D125" i="33"/>
  <c r="D124" i="33"/>
  <c r="D123" i="33"/>
  <c r="G115" i="33"/>
  <c r="E115" i="33"/>
  <c r="E119" i="33" s="1"/>
  <c r="D115" i="33"/>
  <c r="C110" i="33"/>
  <c r="B110" i="33"/>
  <c r="H105" i="33"/>
  <c r="G105" i="33"/>
  <c r="E105" i="33"/>
  <c r="D105" i="33"/>
  <c r="G62" i="98"/>
  <c r="B62" i="98"/>
  <c r="G61" i="98"/>
  <c r="F61" i="98"/>
  <c r="D61" i="98"/>
  <c r="G60" i="98"/>
  <c r="F60" i="98"/>
  <c r="D60" i="98"/>
  <c r="G59" i="98"/>
  <c r="F59" i="98"/>
  <c r="H25" i="78" s="1"/>
  <c r="D59" i="98"/>
  <c r="H6" i="78" s="1"/>
  <c r="G58" i="98"/>
  <c r="F58" i="98"/>
  <c r="H27" i="78" s="1"/>
  <c r="D58" i="98"/>
  <c r="H8" i="78" s="1"/>
  <c r="G57" i="98"/>
  <c r="F57" i="98"/>
  <c r="H28" i="78" s="1"/>
  <c r="D57" i="98"/>
  <c r="H9" i="78" s="1"/>
  <c r="G56" i="98"/>
  <c r="F56" i="98"/>
  <c r="H26" i="78" s="1"/>
  <c r="D56" i="98"/>
  <c r="H7" i="78" s="1"/>
  <c r="G55" i="98"/>
  <c r="F55" i="98"/>
  <c r="D55" i="98"/>
  <c r="G54" i="98"/>
  <c r="F54" i="98"/>
  <c r="H24" i="78" s="1"/>
  <c r="D54" i="98"/>
  <c r="H5" i="78" s="1"/>
  <c r="AC50" i="98"/>
  <c r="AC49" i="98"/>
  <c r="Z49" i="98"/>
  <c r="AA49" i="98" s="1"/>
  <c r="W49" i="98"/>
  <c r="U49" i="98"/>
  <c r="R49" i="98"/>
  <c r="P49" i="98"/>
  <c r="M49" i="98"/>
  <c r="N49" i="98" s="1"/>
  <c r="J49" i="98"/>
  <c r="H49" i="98"/>
  <c r="F49" i="98"/>
  <c r="D49" i="98"/>
  <c r="AC48" i="98"/>
  <c r="U48" i="98"/>
  <c r="F48" i="98"/>
  <c r="D48" i="98"/>
  <c r="AC47" i="98"/>
  <c r="Z47" i="98"/>
  <c r="AA47" i="98" s="1"/>
  <c r="W47" i="98"/>
  <c r="X47" i="98" s="1"/>
  <c r="R47" i="98"/>
  <c r="P47" i="98"/>
  <c r="J47" i="98"/>
  <c r="H47" i="98"/>
  <c r="F47" i="98"/>
  <c r="D47" i="98"/>
  <c r="AC46" i="98"/>
  <c r="Z46" i="98"/>
  <c r="AA46" i="98" s="1"/>
  <c r="W46" i="98"/>
  <c r="U46" i="98"/>
  <c r="R46" i="98"/>
  <c r="P46" i="98"/>
  <c r="J46" i="98"/>
  <c r="H46" i="98"/>
  <c r="F46" i="98"/>
  <c r="D46" i="98"/>
  <c r="AC45" i="98"/>
  <c r="Z45" i="98"/>
  <c r="AA45" i="98" s="1"/>
  <c r="W45" i="98"/>
  <c r="X45" i="98" s="1"/>
  <c r="U45" i="98"/>
  <c r="R45" i="98"/>
  <c r="P45" i="98"/>
  <c r="S45" i="98" s="1"/>
  <c r="H45" i="98"/>
  <c r="F45" i="98"/>
  <c r="D45" i="98"/>
  <c r="J45" i="98"/>
  <c r="AC44" i="98"/>
  <c r="Z44" i="98"/>
  <c r="AA44" i="98" s="1"/>
  <c r="W44" i="98"/>
  <c r="X44" i="98" s="1"/>
  <c r="U44" i="98"/>
  <c r="R44" i="98"/>
  <c r="P44" i="98"/>
  <c r="J44" i="98"/>
  <c r="H44" i="98"/>
  <c r="F44" i="98"/>
  <c r="D44" i="98"/>
  <c r="AC43" i="98"/>
  <c r="Z43" i="98"/>
  <c r="AA43" i="98" s="1"/>
  <c r="W43" i="98"/>
  <c r="X43" i="98" s="1"/>
  <c r="U43" i="98"/>
  <c r="R43" i="98"/>
  <c r="P43" i="98"/>
  <c r="J43" i="98"/>
  <c r="H43" i="98"/>
  <c r="F43" i="98"/>
  <c r="D43" i="98"/>
  <c r="AC42" i="98"/>
  <c r="Z42" i="98"/>
  <c r="AA42" i="98" s="1"/>
  <c r="W42" i="98"/>
  <c r="U42" i="98"/>
  <c r="R42" i="98"/>
  <c r="P42" i="98"/>
  <c r="J42" i="98"/>
  <c r="H42" i="98"/>
  <c r="F42" i="98"/>
  <c r="D42" i="98"/>
  <c r="AC41" i="98"/>
  <c r="W41" i="98"/>
  <c r="U41" i="98"/>
  <c r="P41" i="98"/>
  <c r="M41" i="98"/>
  <c r="N41" i="98" s="1"/>
  <c r="H41" i="98"/>
  <c r="F41" i="98"/>
  <c r="D41" i="98"/>
  <c r="AC40" i="98"/>
  <c r="W40" i="98"/>
  <c r="P40" i="98"/>
  <c r="H40" i="98"/>
  <c r="U40" i="98"/>
  <c r="AC39" i="98"/>
  <c r="Z39" i="98"/>
  <c r="AA39" i="98" s="1"/>
  <c r="W39" i="98"/>
  <c r="U39" i="98"/>
  <c r="R39" i="98"/>
  <c r="P39" i="98"/>
  <c r="S39" i="98" s="1"/>
  <c r="M39" i="98"/>
  <c r="N39" i="98" s="1"/>
  <c r="J39" i="98"/>
  <c r="H39" i="98"/>
  <c r="F39" i="98"/>
  <c r="D39" i="98"/>
  <c r="AC38" i="98"/>
  <c r="Z38" i="98"/>
  <c r="AA38" i="98" s="1"/>
  <c r="W38" i="98"/>
  <c r="X38" i="98" s="1"/>
  <c r="U38" i="98"/>
  <c r="R38" i="98"/>
  <c r="P38" i="98"/>
  <c r="M38" i="98"/>
  <c r="N38" i="98" s="1"/>
  <c r="J38" i="98"/>
  <c r="H38" i="98"/>
  <c r="F38" i="98"/>
  <c r="D38" i="98"/>
  <c r="AC37" i="98"/>
  <c r="Z37" i="98"/>
  <c r="AA37" i="98" s="1"/>
  <c r="W37" i="98"/>
  <c r="U37" i="98"/>
  <c r="R37" i="98"/>
  <c r="P37" i="98"/>
  <c r="S37" i="98" s="1"/>
  <c r="M37" i="98"/>
  <c r="N37" i="98" s="1"/>
  <c r="J37" i="98"/>
  <c r="H37" i="98"/>
  <c r="F37" i="98"/>
  <c r="D37" i="98"/>
  <c r="AC36" i="98"/>
  <c r="Z36" i="98"/>
  <c r="AA36" i="98" s="1"/>
  <c r="W36" i="98"/>
  <c r="U36" i="98"/>
  <c r="R36" i="98"/>
  <c r="P36" i="98"/>
  <c r="M36" i="98"/>
  <c r="N36" i="98" s="1"/>
  <c r="J36" i="98"/>
  <c r="H36" i="98"/>
  <c r="F36" i="98"/>
  <c r="D36" i="98"/>
  <c r="AC35" i="98"/>
  <c r="Z35" i="98"/>
  <c r="AA35" i="98" s="1"/>
  <c r="W35" i="98"/>
  <c r="U35" i="98"/>
  <c r="R35" i="98"/>
  <c r="P35" i="98"/>
  <c r="M35" i="98"/>
  <c r="N35" i="98" s="1"/>
  <c r="J35" i="98"/>
  <c r="H35" i="98"/>
  <c r="F35" i="98"/>
  <c r="D35" i="98"/>
  <c r="AC34" i="98"/>
  <c r="Z34" i="98"/>
  <c r="AA34" i="98" s="1"/>
  <c r="W34" i="98"/>
  <c r="X34" i="98" s="1"/>
  <c r="U34" i="98"/>
  <c r="R34" i="98"/>
  <c r="P34" i="98"/>
  <c r="S34" i="98" s="1"/>
  <c r="M34" i="98"/>
  <c r="N34" i="98" s="1"/>
  <c r="J34" i="98"/>
  <c r="H34" i="98"/>
  <c r="F34" i="98"/>
  <c r="D34" i="98"/>
  <c r="AC33" i="98"/>
  <c r="Z33" i="98"/>
  <c r="AA33" i="98" s="1"/>
  <c r="W33" i="98"/>
  <c r="U33" i="98"/>
  <c r="R33" i="98"/>
  <c r="P33" i="98"/>
  <c r="M33" i="98"/>
  <c r="N33" i="98" s="1"/>
  <c r="J33" i="98"/>
  <c r="H33" i="98"/>
  <c r="F33" i="98"/>
  <c r="D33" i="98"/>
  <c r="AC32" i="98"/>
  <c r="Z32" i="98"/>
  <c r="AA32" i="98" s="1"/>
  <c r="W32" i="98"/>
  <c r="X32" i="98" s="1"/>
  <c r="U32" i="98"/>
  <c r="R32" i="98"/>
  <c r="P32" i="98"/>
  <c r="M32" i="98"/>
  <c r="N32" i="98" s="1"/>
  <c r="J32" i="98"/>
  <c r="H32" i="98"/>
  <c r="F32" i="98"/>
  <c r="D32" i="98"/>
  <c r="AC31" i="98"/>
  <c r="Z31" i="98"/>
  <c r="AA31" i="98" s="1"/>
  <c r="W31" i="98"/>
  <c r="X31" i="98" s="1"/>
  <c r="U31" i="98"/>
  <c r="R31" i="98"/>
  <c r="P31" i="98"/>
  <c r="M31" i="98"/>
  <c r="N31" i="98" s="1"/>
  <c r="J31" i="98"/>
  <c r="H31" i="98"/>
  <c r="F31" i="98"/>
  <c r="D31" i="98"/>
  <c r="AC30" i="98"/>
  <c r="Z30" i="98"/>
  <c r="AA30" i="98" s="1"/>
  <c r="W30" i="98"/>
  <c r="X30" i="98" s="1"/>
  <c r="U30" i="98"/>
  <c r="R30" i="98"/>
  <c r="P30" i="98"/>
  <c r="M30" i="98"/>
  <c r="N30" i="98" s="1"/>
  <c r="J30" i="98"/>
  <c r="H30" i="98"/>
  <c r="F30" i="98"/>
  <c r="D30" i="98"/>
  <c r="AC29" i="98"/>
  <c r="Z29" i="98"/>
  <c r="AA29" i="98" s="1"/>
  <c r="W29" i="98"/>
  <c r="U29" i="98"/>
  <c r="R29" i="98"/>
  <c r="P29" i="98"/>
  <c r="M29" i="98"/>
  <c r="N29" i="98" s="1"/>
  <c r="J29" i="98"/>
  <c r="H29" i="98"/>
  <c r="F29" i="98"/>
  <c r="D29" i="98"/>
  <c r="AC28" i="98"/>
  <c r="Z28" i="98"/>
  <c r="AA28" i="98" s="1"/>
  <c r="W28" i="98"/>
  <c r="U28" i="98"/>
  <c r="R28" i="98"/>
  <c r="P28" i="98"/>
  <c r="M28" i="98"/>
  <c r="N28" i="98" s="1"/>
  <c r="J28" i="98"/>
  <c r="H28" i="98"/>
  <c r="F28" i="98"/>
  <c r="D28" i="98"/>
  <c r="AC27" i="98"/>
  <c r="Z27" i="98"/>
  <c r="AA27" i="98" s="1"/>
  <c r="W27" i="98"/>
  <c r="U27" i="98"/>
  <c r="R27" i="98"/>
  <c r="P27" i="98"/>
  <c r="S27" i="98" s="1"/>
  <c r="M27" i="98"/>
  <c r="N27" i="98" s="1"/>
  <c r="J27" i="98"/>
  <c r="H27" i="98"/>
  <c r="F27" i="98"/>
  <c r="D27" i="98"/>
  <c r="AC26" i="98"/>
  <c r="Z26" i="98"/>
  <c r="AA26" i="98" s="1"/>
  <c r="W26" i="98"/>
  <c r="X26" i="98" s="1"/>
  <c r="U26" i="98"/>
  <c r="R26" i="98"/>
  <c r="P26" i="98"/>
  <c r="M26" i="98"/>
  <c r="N26" i="98" s="1"/>
  <c r="J26" i="98"/>
  <c r="H26" i="98"/>
  <c r="F26" i="98"/>
  <c r="D26" i="98"/>
  <c r="AC25" i="98"/>
  <c r="Z25" i="98"/>
  <c r="AA25" i="98" s="1"/>
  <c r="W25" i="98"/>
  <c r="U25" i="98"/>
  <c r="R25" i="98"/>
  <c r="P25" i="98"/>
  <c r="S25" i="98" s="1"/>
  <c r="M25" i="98"/>
  <c r="N25" i="98" s="1"/>
  <c r="J25" i="98"/>
  <c r="H25" i="98"/>
  <c r="F25" i="98"/>
  <c r="D25" i="98"/>
  <c r="AC24" i="98"/>
  <c r="Z24" i="98"/>
  <c r="AA24" i="98" s="1"/>
  <c r="W24" i="98"/>
  <c r="U24" i="98"/>
  <c r="R24" i="98"/>
  <c r="P24" i="98"/>
  <c r="M24" i="98"/>
  <c r="N24" i="98" s="1"/>
  <c r="J24" i="98"/>
  <c r="H24" i="98"/>
  <c r="F24" i="98"/>
  <c r="D24" i="98"/>
  <c r="AC23" i="98"/>
  <c r="AC22" i="98"/>
  <c r="Z22" i="98"/>
  <c r="AA22" i="98" s="1"/>
  <c r="W22" i="98"/>
  <c r="X22" i="98" s="1"/>
  <c r="U22" i="98"/>
  <c r="R22" i="98"/>
  <c r="P22" i="98"/>
  <c r="M22" i="98"/>
  <c r="N22" i="98" s="1"/>
  <c r="J22" i="98"/>
  <c r="H22" i="98"/>
  <c r="F22" i="98"/>
  <c r="D22" i="98"/>
  <c r="AC21" i="98"/>
  <c r="Z21" i="98"/>
  <c r="AA21" i="98" s="1"/>
  <c r="W21" i="98"/>
  <c r="U21" i="98"/>
  <c r="R21" i="98"/>
  <c r="P21" i="98"/>
  <c r="S21" i="98" s="1"/>
  <c r="M21" i="98"/>
  <c r="N21" i="98" s="1"/>
  <c r="J21" i="98"/>
  <c r="H21" i="98"/>
  <c r="F21" i="98"/>
  <c r="D21" i="98"/>
  <c r="AC20" i="98"/>
  <c r="Z20" i="98"/>
  <c r="AA20" i="98" s="1"/>
  <c r="W20" i="98"/>
  <c r="U20" i="98"/>
  <c r="R20" i="98"/>
  <c r="P20" i="98"/>
  <c r="M20" i="98"/>
  <c r="N20" i="98" s="1"/>
  <c r="J20" i="98"/>
  <c r="H20" i="98"/>
  <c r="F20" i="98"/>
  <c r="D20" i="98"/>
  <c r="AC19" i="98"/>
  <c r="Z19" i="98"/>
  <c r="AA19" i="98" s="1"/>
  <c r="W19" i="98"/>
  <c r="U19" i="98"/>
  <c r="R19" i="98"/>
  <c r="P19" i="98"/>
  <c r="M19" i="98"/>
  <c r="N19" i="98" s="1"/>
  <c r="J19" i="98"/>
  <c r="H19" i="98"/>
  <c r="F19" i="98"/>
  <c r="D19" i="98"/>
  <c r="AC18" i="98"/>
  <c r="Z18" i="98"/>
  <c r="AA18" i="98" s="1"/>
  <c r="W18" i="98"/>
  <c r="X18" i="98" s="1"/>
  <c r="U18" i="98"/>
  <c r="R18" i="98"/>
  <c r="P18" i="98"/>
  <c r="M18" i="98"/>
  <c r="N18" i="98" s="1"/>
  <c r="J18" i="98"/>
  <c r="H18" i="98"/>
  <c r="F18" i="98"/>
  <c r="D18" i="98"/>
  <c r="AC17" i="98"/>
  <c r="Z17" i="98"/>
  <c r="AA17" i="98" s="1"/>
  <c r="W17" i="98"/>
  <c r="X17" i="98" s="1"/>
  <c r="U17" i="98"/>
  <c r="R17" i="98"/>
  <c r="P17" i="98"/>
  <c r="M17" i="98"/>
  <c r="N17" i="98" s="1"/>
  <c r="J17" i="98"/>
  <c r="H17" i="98"/>
  <c r="F17" i="98"/>
  <c r="D17" i="98"/>
  <c r="AC16" i="98"/>
  <c r="Z16" i="98"/>
  <c r="AA16" i="98" s="1"/>
  <c r="W16" i="98"/>
  <c r="X16" i="98" s="1"/>
  <c r="U16" i="98"/>
  <c r="R16" i="98"/>
  <c r="P16" i="98"/>
  <c r="M16" i="98"/>
  <c r="N16" i="98" s="1"/>
  <c r="J16" i="98"/>
  <c r="H16" i="98"/>
  <c r="F16" i="98"/>
  <c r="D16" i="98"/>
  <c r="AC12" i="98"/>
  <c r="V11" i="98"/>
  <c r="T11" i="98"/>
  <c r="Q11" i="98"/>
  <c r="L11" i="98"/>
  <c r="I11" i="98"/>
  <c r="G11" i="98"/>
  <c r="E11" i="98"/>
  <c r="C11" i="98"/>
  <c r="V10" i="98"/>
  <c r="T10" i="98"/>
  <c r="Q10" i="98"/>
  <c r="L10" i="98"/>
  <c r="I10" i="98"/>
  <c r="G10" i="98"/>
  <c r="E10" i="98"/>
  <c r="C10" i="98"/>
  <c r="V9" i="98"/>
  <c r="T9" i="98"/>
  <c r="Q9" i="98"/>
  <c r="L9" i="98"/>
  <c r="I9" i="98"/>
  <c r="G9" i="98"/>
  <c r="E9" i="98"/>
  <c r="C9" i="98"/>
  <c r="P9" i="98"/>
  <c r="AC8" i="98"/>
  <c r="Y7" i="98"/>
  <c r="V7" i="98"/>
  <c r="T7" i="98"/>
  <c r="Q7" i="98"/>
  <c r="O7" i="98"/>
  <c r="L7" i="98"/>
  <c r="I7" i="98"/>
  <c r="G7" i="98"/>
  <c r="E7" i="98"/>
  <c r="C7" i="98"/>
  <c r="Y6" i="98"/>
  <c r="V6" i="98"/>
  <c r="T6" i="98"/>
  <c r="Q6" i="98"/>
  <c r="O6" i="98"/>
  <c r="L6" i="98"/>
  <c r="I6" i="98"/>
  <c r="G6" i="98"/>
  <c r="E6" i="98"/>
  <c r="C6" i="98"/>
  <c r="Y5" i="98"/>
  <c r="V5" i="98"/>
  <c r="T5" i="98"/>
  <c r="Q5" i="98"/>
  <c r="O5" i="98"/>
  <c r="L5" i="98"/>
  <c r="I5" i="98"/>
  <c r="G5" i="98"/>
  <c r="E5" i="98"/>
  <c r="C5" i="98"/>
  <c r="AB45" i="98" l="1"/>
  <c r="X27" i="98"/>
  <c r="X39" i="98"/>
  <c r="AB44" i="98"/>
  <c r="S20" i="98"/>
  <c r="X25" i="98"/>
  <c r="X37" i="98"/>
  <c r="X41" i="98"/>
  <c r="X28" i="98"/>
  <c r="X24" i="98"/>
  <c r="X36" i="98"/>
  <c r="X46" i="98"/>
  <c r="X49" i="98"/>
  <c r="X21" i="98"/>
  <c r="X35" i="98"/>
  <c r="X29" i="98"/>
  <c r="X42" i="98"/>
  <c r="AB16" i="98"/>
  <c r="AB30" i="98"/>
  <c r="X20" i="98"/>
  <c r="S16" i="98"/>
  <c r="X19" i="98"/>
  <c r="AB25" i="98"/>
  <c r="S30" i="98"/>
  <c r="X33" i="98"/>
  <c r="AB37" i="98"/>
  <c r="X40" i="98"/>
  <c r="S43" i="98"/>
  <c r="AD43" i="98" s="1"/>
  <c r="AB47" i="98"/>
  <c r="S29" i="98"/>
  <c r="G127" i="45"/>
  <c r="H128" i="85"/>
  <c r="G131" i="45"/>
  <c r="G133" i="45" s="1"/>
  <c r="H89" i="101"/>
  <c r="H124" i="85"/>
  <c r="G126" i="45"/>
  <c r="G129" i="45" s="1"/>
  <c r="S17" i="98"/>
  <c r="S31" i="98"/>
  <c r="K42" i="98"/>
  <c r="S28" i="98"/>
  <c r="S42" i="98"/>
  <c r="AB42" i="98" s="1"/>
  <c r="K49" i="98"/>
  <c r="AB49" i="98" s="1"/>
  <c r="S26" i="98"/>
  <c r="S38" i="98"/>
  <c r="S47" i="98"/>
  <c r="AD47" i="98" s="1"/>
  <c r="AC9" i="98"/>
  <c r="S22" i="98"/>
  <c r="S24" i="98"/>
  <c r="S36" i="98"/>
  <c r="S46" i="98"/>
  <c r="S49" i="98"/>
  <c r="S35" i="98"/>
  <c r="S19" i="98"/>
  <c r="S33" i="98"/>
  <c r="S18" i="98"/>
  <c r="AB18" i="98" s="1"/>
  <c r="S32" i="98"/>
  <c r="S44" i="98"/>
  <c r="K19" i="98"/>
  <c r="AB19" i="98" s="1"/>
  <c r="AC6" i="98"/>
  <c r="M9" i="98"/>
  <c r="N9" i="98" s="1"/>
  <c r="AC11" i="98"/>
  <c r="F120" i="45"/>
  <c r="G117" i="85"/>
  <c r="AD19" i="99"/>
  <c r="AD27" i="99"/>
  <c r="K50" i="99"/>
  <c r="G119" i="45" s="1"/>
  <c r="B66" i="99"/>
  <c r="K12" i="99"/>
  <c r="B68" i="99"/>
  <c r="AD39" i="99"/>
  <c r="I145" i="33"/>
  <c r="I150" i="33" s="1"/>
  <c r="K45" i="98"/>
  <c r="K37" i="98"/>
  <c r="D62" i="98"/>
  <c r="H55" i="98"/>
  <c r="H59" i="98"/>
  <c r="K22" i="98"/>
  <c r="AB22" i="98" s="1"/>
  <c r="K36" i="98"/>
  <c r="AB36" i="98" s="1"/>
  <c r="K18" i="98"/>
  <c r="K21" i="98"/>
  <c r="AB21" i="98" s="1"/>
  <c r="K39" i="98"/>
  <c r="AD39" i="98" s="1"/>
  <c r="K44" i="98"/>
  <c r="AD45" i="98"/>
  <c r="K47" i="98"/>
  <c r="K17" i="98"/>
  <c r="AB17" i="98" s="1"/>
  <c r="K20" i="98"/>
  <c r="AB20" i="98" s="1"/>
  <c r="AD26" i="98"/>
  <c r="K38" i="98"/>
  <c r="AB38" i="98" s="1"/>
  <c r="K43" i="98"/>
  <c r="AB43" i="98" s="1"/>
  <c r="K46" i="98"/>
  <c r="AD46" i="98" s="1"/>
  <c r="G119" i="33"/>
  <c r="D119" i="33"/>
  <c r="G110" i="33"/>
  <c r="H9" i="98"/>
  <c r="W9" i="98"/>
  <c r="X9" i="98" s="1"/>
  <c r="H110" i="33"/>
  <c r="I116" i="33"/>
  <c r="I117" i="33"/>
  <c r="I118" i="33"/>
  <c r="D9" i="98"/>
  <c r="R9" i="98"/>
  <c r="S9" i="98" s="1"/>
  <c r="Z9" i="98"/>
  <c r="AA9" i="98" s="1"/>
  <c r="I105" i="33"/>
  <c r="H119" i="33"/>
  <c r="E110" i="33"/>
  <c r="D110" i="33"/>
  <c r="I115" i="33"/>
  <c r="B50" i="98"/>
  <c r="U23" i="98"/>
  <c r="M23" i="98"/>
  <c r="N23" i="98" s="1"/>
  <c r="F23" i="98"/>
  <c r="D23" i="98"/>
  <c r="W23" i="98"/>
  <c r="X23" i="98" s="1"/>
  <c r="H54" i="98"/>
  <c r="H58" i="98"/>
  <c r="AC5" i="98"/>
  <c r="J23" i="98"/>
  <c r="Z23" i="98"/>
  <c r="AA23" i="98" s="1"/>
  <c r="K24" i="98"/>
  <c r="AB24" i="98" s="1"/>
  <c r="K25" i="98"/>
  <c r="AD25" i="98" s="1"/>
  <c r="K26" i="98"/>
  <c r="AB26" i="98" s="1"/>
  <c r="K27" i="98"/>
  <c r="AB27" i="98" s="1"/>
  <c r="K28" i="98"/>
  <c r="AB28" i="98" s="1"/>
  <c r="H57" i="98"/>
  <c r="H61" i="98"/>
  <c r="U50" i="98"/>
  <c r="R23" i="98"/>
  <c r="AC7" i="98"/>
  <c r="AC10" i="98"/>
  <c r="H23" i="98"/>
  <c r="K16" i="98"/>
  <c r="P23" i="98"/>
  <c r="K29" i="98"/>
  <c r="AB29" i="98" s="1"/>
  <c r="K30" i="98"/>
  <c r="K31" i="98"/>
  <c r="AB31" i="98" s="1"/>
  <c r="K32" i="98"/>
  <c r="AB32" i="98" s="1"/>
  <c r="K33" i="98"/>
  <c r="AB33" i="98" s="1"/>
  <c r="K34" i="98"/>
  <c r="AB34" i="98" s="1"/>
  <c r="K35" i="98"/>
  <c r="AD35" i="98" s="1"/>
  <c r="H56" i="98"/>
  <c r="H60" i="98"/>
  <c r="J40" i="98"/>
  <c r="R40" i="98"/>
  <c r="S40" i="98" s="1"/>
  <c r="Z40" i="98"/>
  <c r="AA40" i="98" s="1"/>
  <c r="H48" i="98"/>
  <c r="P48" i="98"/>
  <c r="W48" i="98"/>
  <c r="X48" i="98" s="1"/>
  <c r="F9" i="98"/>
  <c r="J9" i="98"/>
  <c r="D40" i="98"/>
  <c r="J41" i="98"/>
  <c r="K41" i="98" s="1"/>
  <c r="AB41" i="98" s="1"/>
  <c r="R41" i="98"/>
  <c r="S41" i="98" s="1"/>
  <c r="Z41" i="98"/>
  <c r="AA41" i="98" s="1"/>
  <c r="J48" i="98"/>
  <c r="R48" i="98"/>
  <c r="Z48" i="98"/>
  <c r="AA48" i="98" s="1"/>
  <c r="F62" i="98"/>
  <c r="F40" i="98"/>
  <c r="M40" i="98"/>
  <c r="N40" i="98" s="1"/>
  <c r="I110" i="85"/>
  <c r="J110" i="85"/>
  <c r="K110" i="85"/>
  <c r="L110" i="85"/>
  <c r="M110" i="85"/>
  <c r="N110" i="85"/>
  <c r="H120" i="101" l="1"/>
  <c r="H169" i="101" s="1"/>
  <c r="H170" i="101" s="1"/>
  <c r="AD42" i="98"/>
  <c r="AB39" i="98"/>
  <c r="AD49" i="98"/>
  <c r="AB46" i="98"/>
  <c r="AD20" i="98"/>
  <c r="AB35" i="98"/>
  <c r="B67" i="99"/>
  <c r="H81" i="85"/>
  <c r="H110" i="85" s="1"/>
  <c r="G118" i="45"/>
  <c r="G121" i="45" s="1"/>
  <c r="S48" i="98"/>
  <c r="S23" i="98"/>
  <c r="AD28" i="98"/>
  <c r="AD21" i="98"/>
  <c r="AD31" i="98"/>
  <c r="AD18" i="98"/>
  <c r="K40" i="98"/>
  <c r="AD40" i="98" s="1"/>
  <c r="AD30" i="98"/>
  <c r="AD29" i="98"/>
  <c r="AD44" i="98"/>
  <c r="B69" i="99"/>
  <c r="B70" i="99" s="1"/>
  <c r="B71" i="99" s="1"/>
  <c r="AD50" i="99"/>
  <c r="P50" i="98"/>
  <c r="H50" i="98"/>
  <c r="H62" i="98"/>
  <c r="AD38" i="98"/>
  <c r="AD37" i="98"/>
  <c r="AD24" i="98"/>
  <c r="AD19" i="98"/>
  <c r="D50" i="98"/>
  <c r="AD17" i="98"/>
  <c r="AD32" i="98"/>
  <c r="J50" i="98"/>
  <c r="AD36" i="98"/>
  <c r="K48" i="98"/>
  <c r="AB48" i="98" s="1"/>
  <c r="AD27" i="98"/>
  <c r="K23" i="98"/>
  <c r="AB23" i="98" s="1"/>
  <c r="M50" i="98"/>
  <c r="N50" i="98" s="1"/>
  <c r="AD22" i="98"/>
  <c r="Z50" i="98"/>
  <c r="R50" i="98"/>
  <c r="W50" i="98"/>
  <c r="I119" i="33"/>
  <c r="I110" i="33"/>
  <c r="AD41" i="98"/>
  <c r="K9" i="98"/>
  <c r="AB9" i="98" s="1"/>
  <c r="F50" i="98"/>
  <c r="AD34" i="98"/>
  <c r="AD16" i="98"/>
  <c r="AD33" i="98"/>
  <c r="E40" i="3"/>
  <c r="E11" i="3"/>
  <c r="E12" i="3"/>
  <c r="E13" i="3"/>
  <c r="E14" i="3"/>
  <c r="E15" i="3"/>
  <c r="E17" i="3"/>
  <c r="E19" i="3"/>
  <c r="E21" i="3"/>
  <c r="E23" i="3"/>
  <c r="E25" i="3"/>
  <c r="E27" i="3"/>
  <c r="E28" i="3"/>
  <c r="E29" i="3"/>
  <c r="E30" i="3"/>
  <c r="E31" i="3"/>
  <c r="E32" i="3"/>
  <c r="E34" i="3"/>
  <c r="E36" i="3"/>
  <c r="E37" i="3"/>
  <c r="E38" i="3"/>
  <c r="E39" i="3"/>
  <c r="E42" i="3"/>
  <c r="E44" i="3"/>
  <c r="E45" i="3"/>
  <c r="E46" i="3"/>
  <c r="E48" i="3"/>
  <c r="C30" i="45"/>
  <c r="D30" i="45"/>
  <c r="E30" i="45"/>
  <c r="F132" i="45" l="1"/>
  <c r="AA50" i="98"/>
  <c r="F127" i="45"/>
  <c r="X50" i="98"/>
  <c r="AB40" i="98"/>
  <c r="S50" i="98"/>
  <c r="K50" i="98"/>
  <c r="F119" i="45" s="1"/>
  <c r="AD48" i="98"/>
  <c r="I120" i="33"/>
  <c r="I125" i="33" s="1"/>
  <c r="AD23" i="98"/>
  <c r="B45" i="97"/>
  <c r="H118" i="85"/>
  <c r="I118" i="85"/>
  <c r="J118" i="85"/>
  <c r="K118" i="85"/>
  <c r="L118" i="85"/>
  <c r="M118" i="85"/>
  <c r="N118" i="85"/>
  <c r="O82" i="85"/>
  <c r="O83" i="85"/>
  <c r="O84" i="85"/>
  <c r="O85" i="85"/>
  <c r="O86" i="85"/>
  <c r="O87" i="85"/>
  <c r="O88" i="85"/>
  <c r="O89" i="85"/>
  <c r="O90" i="85"/>
  <c r="O91" i="85"/>
  <c r="O92" i="85"/>
  <c r="O93" i="85"/>
  <c r="O94" i="85"/>
  <c r="O95" i="85"/>
  <c r="O96" i="85"/>
  <c r="O97" i="85"/>
  <c r="O98" i="85"/>
  <c r="O99" i="85"/>
  <c r="O100" i="85"/>
  <c r="O101" i="85"/>
  <c r="O102" i="85"/>
  <c r="O103" i="85"/>
  <c r="O104" i="85"/>
  <c r="O105" i="85"/>
  <c r="O106" i="85"/>
  <c r="O107" i="85"/>
  <c r="O108" i="85"/>
  <c r="O109" i="85"/>
  <c r="O111" i="85"/>
  <c r="O112" i="85"/>
  <c r="O113" i="85"/>
  <c r="O114" i="85"/>
  <c r="O115" i="85"/>
  <c r="O116" i="85"/>
  <c r="AB50" i="98" l="1"/>
  <c r="AD50" i="98"/>
  <c r="O45" i="85"/>
  <c r="O46" i="85"/>
  <c r="O47" i="85"/>
  <c r="O48" i="85"/>
  <c r="O49" i="85"/>
  <c r="O50" i="85"/>
  <c r="O51" i="85"/>
  <c r="O52" i="85"/>
  <c r="O53" i="85"/>
  <c r="O54" i="85"/>
  <c r="O55" i="85"/>
  <c r="O56" i="85"/>
  <c r="O57" i="85"/>
  <c r="O58" i="85"/>
  <c r="O59" i="85"/>
  <c r="O60" i="85"/>
  <c r="O61" i="85"/>
  <c r="O62" i="85"/>
  <c r="O63" i="85"/>
  <c r="O64" i="85"/>
  <c r="O65" i="85"/>
  <c r="O66" i="85"/>
  <c r="O67" i="85"/>
  <c r="O68" i="85"/>
  <c r="O69" i="85"/>
  <c r="O70" i="85"/>
  <c r="O71" i="85"/>
  <c r="O72" i="85"/>
  <c r="O73" i="85"/>
  <c r="O74" i="85"/>
  <c r="O75" i="85"/>
  <c r="O76" i="85"/>
  <c r="O77" i="85"/>
  <c r="O78" i="85"/>
  <c r="F125" i="85"/>
  <c r="F32" i="85"/>
  <c r="F10" i="85"/>
  <c r="F9" i="85"/>
  <c r="G68" i="33"/>
  <c r="B48" i="97"/>
  <c r="U48" i="97" s="1"/>
  <c r="AC47" i="97"/>
  <c r="Z47" i="97"/>
  <c r="W47" i="97"/>
  <c r="R47" i="97"/>
  <c r="P47" i="97"/>
  <c r="S47" i="97" s="1"/>
  <c r="M47" i="97"/>
  <c r="N47" i="97" s="1"/>
  <c r="J47" i="97"/>
  <c r="H47" i="97"/>
  <c r="F47" i="97"/>
  <c r="K47" i="97" s="1"/>
  <c r="D47" i="97"/>
  <c r="B41" i="97"/>
  <c r="W41" i="97" s="1"/>
  <c r="B40" i="97"/>
  <c r="J40" i="97" s="1"/>
  <c r="AC46" i="97"/>
  <c r="Z46" i="97"/>
  <c r="W46" i="97"/>
  <c r="U46" i="97"/>
  <c r="R46" i="97"/>
  <c r="P46" i="97"/>
  <c r="S46" i="97" s="1"/>
  <c r="M46" i="97"/>
  <c r="N46" i="97" s="1"/>
  <c r="J46" i="97"/>
  <c r="H46" i="97"/>
  <c r="F46" i="97"/>
  <c r="D46" i="97"/>
  <c r="B23" i="97"/>
  <c r="AC21" i="97"/>
  <c r="Z21" i="97"/>
  <c r="W21" i="97"/>
  <c r="U21" i="97"/>
  <c r="R21" i="97"/>
  <c r="P21" i="97"/>
  <c r="S21" i="97" s="1"/>
  <c r="M21" i="97"/>
  <c r="N21" i="97" s="1"/>
  <c r="J21" i="97"/>
  <c r="H21" i="97"/>
  <c r="F21" i="97"/>
  <c r="D21" i="97"/>
  <c r="B10" i="97"/>
  <c r="B9" i="97"/>
  <c r="Z9" i="97" s="1"/>
  <c r="H83" i="33"/>
  <c r="E82" i="33"/>
  <c r="D83" i="33"/>
  <c r="H81" i="33"/>
  <c r="H82" i="33"/>
  <c r="E81" i="33"/>
  <c r="E83" i="33"/>
  <c r="E80" i="33"/>
  <c r="D81" i="33"/>
  <c r="D82" i="33"/>
  <c r="I82" i="33" s="1"/>
  <c r="D80" i="33"/>
  <c r="G62" i="97"/>
  <c r="G61" i="97"/>
  <c r="F61" i="97"/>
  <c r="D61" i="97"/>
  <c r="G60" i="97"/>
  <c r="F60" i="97"/>
  <c r="D60" i="97"/>
  <c r="G59" i="97"/>
  <c r="F59" i="97"/>
  <c r="D59" i="97"/>
  <c r="G58" i="97"/>
  <c r="F58" i="97"/>
  <c r="G27" i="78" s="1"/>
  <c r="D58" i="97"/>
  <c r="G8" i="78" s="1"/>
  <c r="G57" i="97"/>
  <c r="F57" i="97"/>
  <c r="D57" i="97"/>
  <c r="G56" i="97"/>
  <c r="F56" i="97"/>
  <c r="G26" i="78" s="1"/>
  <c r="D56" i="97"/>
  <c r="G7" i="78" s="1"/>
  <c r="G55" i="97"/>
  <c r="F55" i="97"/>
  <c r="G31" i="78" s="1"/>
  <c r="D55" i="97"/>
  <c r="G12" i="78" s="1"/>
  <c r="G54" i="97"/>
  <c r="F54" i="97"/>
  <c r="G24" i="78" s="1"/>
  <c r="D54" i="97"/>
  <c r="G5" i="78" s="1"/>
  <c r="B62" i="97"/>
  <c r="E120" i="45" s="1"/>
  <c r="AC50" i="97"/>
  <c r="AC49" i="97"/>
  <c r="Z49" i="97"/>
  <c r="W49" i="97"/>
  <c r="U49" i="97"/>
  <c r="R49" i="97"/>
  <c r="P49" i="97"/>
  <c r="S49" i="97" s="1"/>
  <c r="M49" i="97"/>
  <c r="N49" i="97" s="1"/>
  <c r="J49" i="97"/>
  <c r="H49" i="97"/>
  <c r="F49" i="97"/>
  <c r="D49" i="97"/>
  <c r="AC48" i="97"/>
  <c r="Z48" i="97"/>
  <c r="W48" i="97"/>
  <c r="M48" i="97"/>
  <c r="N48" i="97" s="1"/>
  <c r="J48" i="97"/>
  <c r="H48" i="97"/>
  <c r="F48" i="97"/>
  <c r="D48" i="97"/>
  <c r="AC45" i="97"/>
  <c r="Z45" i="97"/>
  <c r="W45" i="97"/>
  <c r="U45" i="97"/>
  <c r="R45" i="97"/>
  <c r="P45" i="97"/>
  <c r="J45" i="97"/>
  <c r="H45" i="97"/>
  <c r="F45" i="97"/>
  <c r="D45" i="97"/>
  <c r="AC44" i="97"/>
  <c r="Z44" i="97"/>
  <c r="W44" i="97"/>
  <c r="U44" i="97"/>
  <c r="R44" i="97"/>
  <c r="P44" i="97"/>
  <c r="S44" i="97" s="1"/>
  <c r="M44" i="97"/>
  <c r="N44" i="97" s="1"/>
  <c r="J44" i="97"/>
  <c r="H44" i="97"/>
  <c r="F44" i="97"/>
  <c r="D44" i="97"/>
  <c r="AC43" i="97"/>
  <c r="Z43" i="97"/>
  <c r="W43" i="97"/>
  <c r="U43" i="97"/>
  <c r="R43" i="97"/>
  <c r="P43" i="97"/>
  <c r="M43" i="97"/>
  <c r="N43" i="97" s="1"/>
  <c r="J43" i="97"/>
  <c r="H43" i="97"/>
  <c r="F43" i="97"/>
  <c r="D43" i="97"/>
  <c r="AC42" i="97"/>
  <c r="Z42" i="97"/>
  <c r="W42" i="97"/>
  <c r="U42" i="97"/>
  <c r="R42" i="97"/>
  <c r="P42" i="97"/>
  <c r="S42" i="97" s="1"/>
  <c r="M42" i="97"/>
  <c r="N42" i="97" s="1"/>
  <c r="J42" i="97"/>
  <c r="H42" i="97"/>
  <c r="F42" i="97"/>
  <c r="D42" i="97"/>
  <c r="AC41" i="97"/>
  <c r="Z41" i="97"/>
  <c r="M41" i="97"/>
  <c r="N41" i="97" s="1"/>
  <c r="J41" i="97"/>
  <c r="H41" i="97"/>
  <c r="F41" i="97"/>
  <c r="AC40" i="97"/>
  <c r="AC39" i="97"/>
  <c r="Z39" i="97"/>
  <c r="W39" i="97"/>
  <c r="U39" i="97"/>
  <c r="R39" i="97"/>
  <c r="P39" i="97"/>
  <c r="S39" i="97" s="1"/>
  <c r="M39" i="97"/>
  <c r="N39" i="97" s="1"/>
  <c r="J39" i="97"/>
  <c r="H39" i="97"/>
  <c r="F39" i="97"/>
  <c r="D39" i="97"/>
  <c r="AC38" i="97"/>
  <c r="Z38" i="97"/>
  <c r="W38" i="97"/>
  <c r="U38" i="97"/>
  <c r="R38" i="97"/>
  <c r="P38" i="97"/>
  <c r="S38" i="97" s="1"/>
  <c r="M38" i="97"/>
  <c r="N38" i="97" s="1"/>
  <c r="J38" i="97"/>
  <c r="H38" i="97"/>
  <c r="F38" i="97"/>
  <c r="D38" i="97"/>
  <c r="AC37" i="97"/>
  <c r="Z37" i="97"/>
  <c r="W37" i="97"/>
  <c r="U37" i="97"/>
  <c r="R37" i="97"/>
  <c r="P37" i="97"/>
  <c r="M37" i="97"/>
  <c r="N37" i="97" s="1"/>
  <c r="J37" i="97"/>
  <c r="H37" i="97"/>
  <c r="F37" i="97"/>
  <c r="D37" i="97"/>
  <c r="AC36" i="97"/>
  <c r="Z36" i="97"/>
  <c r="W36" i="97"/>
  <c r="U36" i="97"/>
  <c r="R36" i="97"/>
  <c r="P36" i="97"/>
  <c r="S36" i="97" s="1"/>
  <c r="M36" i="97"/>
  <c r="N36" i="97" s="1"/>
  <c r="J36" i="97"/>
  <c r="H36" i="97"/>
  <c r="F36" i="97"/>
  <c r="D36" i="97"/>
  <c r="AC35" i="97"/>
  <c r="Z35" i="97"/>
  <c r="W35" i="97"/>
  <c r="U35" i="97"/>
  <c r="R35" i="97"/>
  <c r="P35" i="97"/>
  <c r="S35" i="97" s="1"/>
  <c r="M35" i="97"/>
  <c r="N35" i="97" s="1"/>
  <c r="J35" i="97"/>
  <c r="H35" i="97"/>
  <c r="F35" i="97"/>
  <c r="D35" i="97"/>
  <c r="AC34" i="97"/>
  <c r="Z34" i="97"/>
  <c r="W34" i="97"/>
  <c r="U34" i="97"/>
  <c r="R34" i="97"/>
  <c r="P34" i="97"/>
  <c r="S34" i="97" s="1"/>
  <c r="M34" i="97"/>
  <c r="N34" i="97" s="1"/>
  <c r="J34" i="97"/>
  <c r="H34" i="97"/>
  <c r="F34" i="97"/>
  <c r="D34" i="97"/>
  <c r="AC33" i="97"/>
  <c r="Z33" i="97"/>
  <c r="W33" i="97"/>
  <c r="U33" i="97"/>
  <c r="R33" i="97"/>
  <c r="P33" i="97"/>
  <c r="S33" i="97" s="1"/>
  <c r="M33" i="97"/>
  <c r="N33" i="97" s="1"/>
  <c r="J33" i="97"/>
  <c r="H33" i="97"/>
  <c r="F33" i="97"/>
  <c r="D33" i="97"/>
  <c r="AC32" i="97"/>
  <c r="Z32" i="97"/>
  <c r="W32" i="97"/>
  <c r="U32" i="97"/>
  <c r="R32" i="97"/>
  <c r="P32" i="97"/>
  <c r="M32" i="97"/>
  <c r="N32" i="97" s="1"/>
  <c r="J32" i="97"/>
  <c r="H32" i="97"/>
  <c r="F32" i="97"/>
  <c r="D32" i="97"/>
  <c r="AC31" i="97"/>
  <c r="Z31" i="97"/>
  <c r="W31" i="97"/>
  <c r="U31" i="97"/>
  <c r="R31" i="97"/>
  <c r="P31" i="97"/>
  <c r="S31" i="97" s="1"/>
  <c r="M31" i="97"/>
  <c r="N31" i="97" s="1"/>
  <c r="J31" i="97"/>
  <c r="H31" i="97"/>
  <c r="F31" i="97"/>
  <c r="D31" i="97"/>
  <c r="AC30" i="97"/>
  <c r="Z30" i="97"/>
  <c r="W30" i="97"/>
  <c r="U30" i="97"/>
  <c r="R30" i="97"/>
  <c r="P30" i="97"/>
  <c r="S30" i="97" s="1"/>
  <c r="M30" i="97"/>
  <c r="N30" i="97" s="1"/>
  <c r="J30" i="97"/>
  <c r="H30" i="97"/>
  <c r="F30" i="97"/>
  <c r="D30" i="97"/>
  <c r="AC29" i="97"/>
  <c r="Z29" i="97"/>
  <c r="W29" i="97"/>
  <c r="U29" i="97"/>
  <c r="R29" i="97"/>
  <c r="P29" i="97"/>
  <c r="M29" i="97"/>
  <c r="N29" i="97" s="1"/>
  <c r="J29" i="97"/>
  <c r="H29" i="97"/>
  <c r="F29" i="97"/>
  <c r="D29" i="97"/>
  <c r="AC28" i="97"/>
  <c r="Z28" i="97"/>
  <c r="W28" i="97"/>
  <c r="U28" i="97"/>
  <c r="R28" i="97"/>
  <c r="P28" i="97"/>
  <c r="M28" i="97"/>
  <c r="N28" i="97" s="1"/>
  <c r="J28" i="97"/>
  <c r="H28" i="97"/>
  <c r="F28" i="97"/>
  <c r="D28" i="97"/>
  <c r="AC27" i="97"/>
  <c r="Z27" i="97"/>
  <c r="W27" i="97"/>
  <c r="U27" i="97"/>
  <c r="R27" i="97"/>
  <c r="P27" i="97"/>
  <c r="S27" i="97" s="1"/>
  <c r="M27" i="97"/>
  <c r="N27" i="97" s="1"/>
  <c r="J27" i="97"/>
  <c r="H27" i="97"/>
  <c r="F27" i="97"/>
  <c r="D27" i="97"/>
  <c r="AC26" i="97"/>
  <c r="Z26" i="97"/>
  <c r="W26" i="97"/>
  <c r="U26" i="97"/>
  <c r="R26" i="97"/>
  <c r="P26" i="97"/>
  <c r="S26" i="97" s="1"/>
  <c r="M26" i="97"/>
  <c r="N26" i="97" s="1"/>
  <c r="J26" i="97"/>
  <c r="H26" i="97"/>
  <c r="F26" i="97"/>
  <c r="D26" i="97"/>
  <c r="AC25" i="97"/>
  <c r="Z25" i="97"/>
  <c r="W25" i="97"/>
  <c r="U25" i="97"/>
  <c r="R25" i="97"/>
  <c r="P25" i="97"/>
  <c r="M25" i="97"/>
  <c r="N25" i="97" s="1"/>
  <c r="J25" i="97"/>
  <c r="H25" i="97"/>
  <c r="F25" i="97"/>
  <c r="D25" i="97"/>
  <c r="AC24" i="97"/>
  <c r="Z24" i="97"/>
  <c r="W24" i="97"/>
  <c r="U24" i="97"/>
  <c r="R24" i="97"/>
  <c r="P24" i="97"/>
  <c r="S24" i="97" s="1"/>
  <c r="M24" i="97"/>
  <c r="N24" i="97" s="1"/>
  <c r="J24" i="97"/>
  <c r="H24" i="97"/>
  <c r="F24" i="97"/>
  <c r="D24" i="97"/>
  <c r="AC23" i="97"/>
  <c r="R23" i="97"/>
  <c r="AC22" i="97"/>
  <c r="Z22" i="97"/>
  <c r="W22" i="97"/>
  <c r="U22" i="97"/>
  <c r="R22" i="97"/>
  <c r="P22" i="97"/>
  <c r="M22" i="97"/>
  <c r="N22" i="97" s="1"/>
  <c r="J22" i="97"/>
  <c r="H22" i="97"/>
  <c r="F22" i="97"/>
  <c r="D22" i="97"/>
  <c r="AC20" i="97"/>
  <c r="Z20" i="97"/>
  <c r="W20" i="97"/>
  <c r="U20" i="97"/>
  <c r="R20" i="97"/>
  <c r="P20" i="97"/>
  <c r="S20" i="97" s="1"/>
  <c r="M20" i="97"/>
  <c r="N20" i="97" s="1"/>
  <c r="J20" i="97"/>
  <c r="H20" i="97"/>
  <c r="F20" i="97"/>
  <c r="D20" i="97"/>
  <c r="AC19" i="97"/>
  <c r="Z19" i="97"/>
  <c r="W19" i="97"/>
  <c r="U19" i="97"/>
  <c r="R19" i="97"/>
  <c r="P19" i="97"/>
  <c r="S19" i="97" s="1"/>
  <c r="M19" i="97"/>
  <c r="N19" i="97" s="1"/>
  <c r="J19" i="97"/>
  <c r="H19" i="97"/>
  <c r="F19" i="97"/>
  <c r="D19" i="97"/>
  <c r="AC18" i="97"/>
  <c r="Z18" i="97"/>
  <c r="W18" i="97"/>
  <c r="U18" i="97"/>
  <c r="R18" i="97"/>
  <c r="P18" i="97"/>
  <c r="S18" i="97" s="1"/>
  <c r="M18" i="97"/>
  <c r="N18" i="97" s="1"/>
  <c r="J18" i="97"/>
  <c r="H18" i="97"/>
  <c r="F18" i="97"/>
  <c r="D18" i="97"/>
  <c r="AC17" i="97"/>
  <c r="Z17" i="97"/>
  <c r="W17" i="97"/>
  <c r="U17" i="97"/>
  <c r="R17" i="97"/>
  <c r="P17" i="97"/>
  <c r="S17" i="97" s="1"/>
  <c r="M17" i="97"/>
  <c r="N17" i="97" s="1"/>
  <c r="J17" i="97"/>
  <c r="H17" i="97"/>
  <c r="F17" i="97"/>
  <c r="D17" i="97"/>
  <c r="AC16" i="97"/>
  <c r="Z16" i="97"/>
  <c r="W16" i="97"/>
  <c r="U16" i="97"/>
  <c r="R16" i="97"/>
  <c r="P16" i="97"/>
  <c r="M16" i="97"/>
  <c r="N16" i="97" s="1"/>
  <c r="J16" i="97"/>
  <c r="H16" i="97"/>
  <c r="F16" i="97"/>
  <c r="D16" i="97"/>
  <c r="AC12" i="97"/>
  <c r="V11" i="97"/>
  <c r="T11" i="97"/>
  <c r="Q11" i="97"/>
  <c r="L11" i="97"/>
  <c r="I11" i="97"/>
  <c r="G11" i="97"/>
  <c r="E11" i="97"/>
  <c r="C11" i="97"/>
  <c r="V10" i="97"/>
  <c r="T10" i="97"/>
  <c r="Q10" i="97"/>
  <c r="R10" i="97" s="1"/>
  <c r="L10" i="97"/>
  <c r="I10" i="97"/>
  <c r="G10" i="97"/>
  <c r="E10" i="97"/>
  <c r="C10" i="97"/>
  <c r="V9" i="97"/>
  <c r="T9" i="97"/>
  <c r="Q9" i="97"/>
  <c r="P9" i="97"/>
  <c r="L9" i="97"/>
  <c r="I9" i="97"/>
  <c r="G9" i="97"/>
  <c r="E9" i="97"/>
  <c r="C9" i="97"/>
  <c r="AC8" i="97"/>
  <c r="Y7" i="97"/>
  <c r="V7" i="97"/>
  <c r="T7" i="97"/>
  <c r="Q7" i="97"/>
  <c r="O7" i="97"/>
  <c r="L7" i="97"/>
  <c r="I7" i="97"/>
  <c r="G7" i="97"/>
  <c r="E7" i="97"/>
  <c r="C7" i="97"/>
  <c r="Y6" i="97"/>
  <c r="V6" i="97"/>
  <c r="T6" i="97"/>
  <c r="Q6" i="97"/>
  <c r="O6" i="97"/>
  <c r="L6" i="97"/>
  <c r="I6" i="97"/>
  <c r="G6" i="97"/>
  <c r="E6" i="97"/>
  <c r="C6" i="97"/>
  <c r="Y5" i="97"/>
  <c r="V5" i="97"/>
  <c r="T5" i="97"/>
  <c r="Q5" i="97"/>
  <c r="O5" i="97"/>
  <c r="L5" i="97"/>
  <c r="I5" i="97"/>
  <c r="G5" i="97"/>
  <c r="E5" i="97"/>
  <c r="C5" i="97"/>
  <c r="D100" i="33"/>
  <c r="D99" i="33"/>
  <c r="D98" i="33"/>
  <c r="H93" i="33"/>
  <c r="G93" i="33"/>
  <c r="E93" i="33"/>
  <c r="D93" i="33"/>
  <c r="H92" i="33"/>
  <c r="G92" i="33"/>
  <c r="E92" i="33"/>
  <c r="D92" i="33"/>
  <c r="H91" i="33"/>
  <c r="G91" i="33"/>
  <c r="E91" i="33"/>
  <c r="D91" i="33"/>
  <c r="H90" i="33"/>
  <c r="G90" i="33"/>
  <c r="G94" i="33" s="1"/>
  <c r="E90" i="33"/>
  <c r="D90" i="33"/>
  <c r="C85" i="33"/>
  <c r="B85" i="33"/>
  <c r="I84" i="33"/>
  <c r="G83" i="33"/>
  <c r="G82" i="33"/>
  <c r="G81" i="33"/>
  <c r="I81" i="33"/>
  <c r="H80" i="33"/>
  <c r="G80" i="33"/>
  <c r="D24" i="3"/>
  <c r="D20" i="3"/>
  <c r="E20" i="3" s="1"/>
  <c r="D41" i="3"/>
  <c r="D26" i="3"/>
  <c r="D22" i="3"/>
  <c r="D18" i="3"/>
  <c r="D16" i="3"/>
  <c r="D10" i="3"/>
  <c r="D33" i="3" l="1"/>
  <c r="D52" i="3" s="1"/>
  <c r="S22" i="97"/>
  <c r="S25" i="97"/>
  <c r="S37" i="97"/>
  <c r="S45" i="97"/>
  <c r="S43" i="97"/>
  <c r="S16" i="97"/>
  <c r="S32" i="97"/>
  <c r="S29" i="97"/>
  <c r="S28" i="97"/>
  <c r="AD26" i="97"/>
  <c r="M23" i="97"/>
  <c r="N23" i="97" s="1"/>
  <c r="B50" i="97"/>
  <c r="K28" i="97"/>
  <c r="F117" i="85"/>
  <c r="K21" i="97"/>
  <c r="K25" i="97"/>
  <c r="I93" i="33"/>
  <c r="Z11" i="98"/>
  <c r="AA11" i="98" s="1"/>
  <c r="J11" i="98"/>
  <c r="D11" i="98"/>
  <c r="R11" i="98"/>
  <c r="U11" i="98"/>
  <c r="W11" i="98"/>
  <c r="H11" i="98"/>
  <c r="P11" i="98"/>
  <c r="F11" i="98"/>
  <c r="M11" i="98"/>
  <c r="N11" i="98" s="1"/>
  <c r="B11" i="97"/>
  <c r="M11" i="97" s="1"/>
  <c r="N11" i="97" s="1"/>
  <c r="I83" i="33"/>
  <c r="I92" i="33"/>
  <c r="P10" i="98"/>
  <c r="F10" i="98"/>
  <c r="Z10" i="98"/>
  <c r="AA10" i="98" s="1"/>
  <c r="W10" i="98"/>
  <c r="H10" i="98"/>
  <c r="U10" i="98"/>
  <c r="D10" i="98"/>
  <c r="J10" i="98"/>
  <c r="M10" i="98"/>
  <c r="N10" i="98" s="1"/>
  <c r="R10" i="98"/>
  <c r="B5" i="97"/>
  <c r="H5" i="97" s="1"/>
  <c r="P48" i="97"/>
  <c r="R48" i="97"/>
  <c r="AD47" i="97"/>
  <c r="P41" i="97"/>
  <c r="R41" i="97"/>
  <c r="U41" i="97"/>
  <c r="D41" i="97"/>
  <c r="H54" i="97"/>
  <c r="K44" i="97"/>
  <c r="H58" i="97"/>
  <c r="R40" i="97"/>
  <c r="U40" i="97"/>
  <c r="D40" i="97"/>
  <c r="F40" i="97"/>
  <c r="Z40" i="97"/>
  <c r="M40" i="97"/>
  <c r="N40" i="97" s="1"/>
  <c r="W40" i="97"/>
  <c r="H40" i="97"/>
  <c r="P40" i="97"/>
  <c r="S40" i="97" s="1"/>
  <c r="K34" i="97"/>
  <c r="K33" i="97"/>
  <c r="K46" i="97"/>
  <c r="K41" i="97"/>
  <c r="K48" i="97"/>
  <c r="H60" i="97"/>
  <c r="K17" i="97"/>
  <c r="U11" i="97"/>
  <c r="H56" i="97"/>
  <c r="K43" i="97"/>
  <c r="H10" i="97"/>
  <c r="K30" i="97"/>
  <c r="AC11" i="97"/>
  <c r="K42" i="97"/>
  <c r="K49" i="97"/>
  <c r="K19" i="97"/>
  <c r="K35" i="97"/>
  <c r="K45" i="97"/>
  <c r="H61" i="97"/>
  <c r="U10" i="97"/>
  <c r="AC7" i="97"/>
  <c r="K26" i="97"/>
  <c r="K36" i="97"/>
  <c r="K38" i="97"/>
  <c r="AC5" i="97"/>
  <c r="AC9" i="97"/>
  <c r="K24" i="97"/>
  <c r="K29" i="97"/>
  <c r="K31" i="97"/>
  <c r="F9" i="97"/>
  <c r="AC6" i="97"/>
  <c r="AC10" i="97"/>
  <c r="K27" i="97"/>
  <c r="K32" i="97"/>
  <c r="K37" i="97"/>
  <c r="K39" i="97"/>
  <c r="D62" i="97"/>
  <c r="H59" i="97"/>
  <c r="H57" i="97"/>
  <c r="F62" i="97"/>
  <c r="K22" i="97"/>
  <c r="AD22" i="97" s="1"/>
  <c r="K16" i="97"/>
  <c r="K18" i="97"/>
  <c r="K20" i="97"/>
  <c r="D9" i="97"/>
  <c r="W9" i="97"/>
  <c r="R9" i="97"/>
  <c r="S9" i="97" s="1"/>
  <c r="M9" i="97"/>
  <c r="N9" i="97" s="1"/>
  <c r="W5" i="97"/>
  <c r="D94" i="33"/>
  <c r="H94" i="33"/>
  <c r="I91" i="33"/>
  <c r="E94" i="33"/>
  <c r="D85" i="33"/>
  <c r="E85" i="33"/>
  <c r="G85" i="33"/>
  <c r="I80" i="33"/>
  <c r="H11" i="97"/>
  <c r="H9" i="97"/>
  <c r="P23" i="97"/>
  <c r="S23" i="97" s="1"/>
  <c r="J9" i="97"/>
  <c r="D23" i="97"/>
  <c r="J10" i="97"/>
  <c r="D10" i="97"/>
  <c r="F23" i="97"/>
  <c r="U23" i="97"/>
  <c r="H55" i="97"/>
  <c r="M10" i="97"/>
  <c r="N10" i="97" s="1"/>
  <c r="W10" i="97"/>
  <c r="H23" i="97"/>
  <c r="W23" i="97"/>
  <c r="F10" i="97"/>
  <c r="P10" i="97"/>
  <c r="S10" i="97" s="1"/>
  <c r="Z10" i="97"/>
  <c r="P11" i="97"/>
  <c r="J23" i="97"/>
  <c r="J50" i="97" s="1"/>
  <c r="Z23" i="97"/>
  <c r="H85" i="33"/>
  <c r="I90" i="33"/>
  <c r="O133" i="85"/>
  <c r="O125" i="85"/>
  <c r="O10" i="85"/>
  <c r="B22" i="96"/>
  <c r="M22" i="96" s="1"/>
  <c r="N22" i="96" s="1"/>
  <c r="B51" i="96"/>
  <c r="F51" i="96" s="1"/>
  <c r="F24" i="78" s="1"/>
  <c r="B11" i="96"/>
  <c r="B10" i="96"/>
  <c r="B9" i="96"/>
  <c r="G56" i="33"/>
  <c r="G57" i="33"/>
  <c r="G58" i="33"/>
  <c r="I59" i="33"/>
  <c r="E66" i="33"/>
  <c r="E67" i="33"/>
  <c r="E68" i="33"/>
  <c r="D66" i="33"/>
  <c r="D67" i="33"/>
  <c r="D68" i="33"/>
  <c r="D75" i="33"/>
  <c r="D74" i="33"/>
  <c r="D73" i="33"/>
  <c r="H68" i="33"/>
  <c r="H67" i="33"/>
  <c r="G67" i="33"/>
  <c r="H66" i="33"/>
  <c r="G66" i="33"/>
  <c r="H65" i="33"/>
  <c r="G65" i="33"/>
  <c r="E65" i="33"/>
  <c r="D65" i="33"/>
  <c r="I65" i="33" s="1"/>
  <c r="C60" i="33"/>
  <c r="B60" i="33"/>
  <c r="H58" i="33"/>
  <c r="E58" i="33"/>
  <c r="D58" i="33"/>
  <c r="H57" i="33"/>
  <c r="E57" i="33"/>
  <c r="D57" i="33"/>
  <c r="H56" i="33"/>
  <c r="E56" i="33"/>
  <c r="D56" i="33"/>
  <c r="H55" i="33"/>
  <c r="H60" i="33" s="1"/>
  <c r="G55" i="33"/>
  <c r="E55" i="33"/>
  <c r="D55" i="33"/>
  <c r="G60" i="96"/>
  <c r="G59" i="96"/>
  <c r="F59" i="96"/>
  <c r="D59" i="96"/>
  <c r="G58" i="96"/>
  <c r="G56" i="96"/>
  <c r="F56" i="96"/>
  <c r="D56" i="96"/>
  <c r="G55" i="96"/>
  <c r="F55" i="96"/>
  <c r="F27" i="78" s="1"/>
  <c r="D55" i="96"/>
  <c r="F8" i="78" s="1"/>
  <c r="G54" i="96"/>
  <c r="F54" i="96"/>
  <c r="D54" i="96"/>
  <c r="G53" i="96"/>
  <c r="F53" i="96"/>
  <c r="F26" i="78" s="1"/>
  <c r="D53" i="96"/>
  <c r="F7" i="78" s="1"/>
  <c r="G52" i="96"/>
  <c r="F52" i="96"/>
  <c r="F31" i="78" s="1"/>
  <c r="D52" i="96"/>
  <c r="F12" i="78" s="1"/>
  <c r="G51" i="96"/>
  <c r="AC47" i="96"/>
  <c r="AC46" i="96"/>
  <c r="Z46" i="96"/>
  <c r="AA46" i="96" s="1"/>
  <c r="W46" i="96"/>
  <c r="U46" i="96"/>
  <c r="X46" i="96" s="1"/>
  <c r="R46" i="96"/>
  <c r="P46" i="96"/>
  <c r="S46" i="96" s="1"/>
  <c r="M46" i="96"/>
  <c r="N46" i="96" s="1"/>
  <c r="J46" i="96"/>
  <c r="H46" i="96"/>
  <c r="F46" i="96"/>
  <c r="D46" i="96"/>
  <c r="AC45" i="96"/>
  <c r="Z45" i="96"/>
  <c r="AA45" i="96" s="1"/>
  <c r="W45" i="96"/>
  <c r="U45" i="96"/>
  <c r="X45" i="96" s="1"/>
  <c r="R45" i="96"/>
  <c r="P45" i="96"/>
  <c r="M45" i="96"/>
  <c r="N45" i="96" s="1"/>
  <c r="J45" i="96"/>
  <c r="H45" i="96"/>
  <c r="F45" i="96"/>
  <c r="D45" i="96"/>
  <c r="AC44" i="96"/>
  <c r="Z44" i="96"/>
  <c r="AA44" i="96" s="1"/>
  <c r="W44" i="96"/>
  <c r="U44" i="96"/>
  <c r="R44" i="96"/>
  <c r="P44" i="96"/>
  <c r="S44" i="96" s="1"/>
  <c r="M44" i="96"/>
  <c r="N44" i="96" s="1"/>
  <c r="J44" i="96"/>
  <c r="H44" i="96"/>
  <c r="F44" i="96"/>
  <c r="D44" i="96"/>
  <c r="AC43" i="96"/>
  <c r="Z43" i="96"/>
  <c r="AA43" i="96" s="1"/>
  <c r="W43" i="96"/>
  <c r="U43" i="96"/>
  <c r="R43" i="96"/>
  <c r="P43" i="96"/>
  <c r="M43" i="96"/>
  <c r="N43" i="96" s="1"/>
  <c r="J43" i="96"/>
  <c r="H43" i="96"/>
  <c r="F43" i="96"/>
  <c r="D43" i="96"/>
  <c r="AC42" i="96"/>
  <c r="Z42" i="96"/>
  <c r="AA42" i="96" s="1"/>
  <c r="W42" i="96"/>
  <c r="U42" i="96"/>
  <c r="R42" i="96"/>
  <c r="P42" i="96"/>
  <c r="M42" i="96"/>
  <c r="N42" i="96" s="1"/>
  <c r="J42" i="96"/>
  <c r="H42" i="96"/>
  <c r="F42" i="96"/>
  <c r="D42" i="96"/>
  <c r="AC41" i="96"/>
  <c r="Z41" i="96"/>
  <c r="AA41" i="96" s="1"/>
  <c r="W41" i="96"/>
  <c r="U41" i="96"/>
  <c r="X41" i="96" s="1"/>
  <c r="R41" i="96"/>
  <c r="P41" i="96"/>
  <c r="M41" i="96"/>
  <c r="N41" i="96" s="1"/>
  <c r="J41" i="96"/>
  <c r="H41" i="96"/>
  <c r="F41" i="96"/>
  <c r="D41" i="96"/>
  <c r="AC40" i="96"/>
  <c r="W40" i="96"/>
  <c r="U40" i="96"/>
  <c r="R40" i="96"/>
  <c r="P40" i="96"/>
  <c r="M40" i="96"/>
  <c r="N40" i="96" s="1"/>
  <c r="J40" i="96"/>
  <c r="H40" i="96"/>
  <c r="F40" i="96"/>
  <c r="D40" i="96"/>
  <c r="AC39" i="96"/>
  <c r="Z39" i="96"/>
  <c r="AA39" i="96" s="1"/>
  <c r="W39" i="96"/>
  <c r="U39" i="96"/>
  <c r="R39" i="96"/>
  <c r="P39" i="96"/>
  <c r="M39" i="96"/>
  <c r="N39" i="96" s="1"/>
  <c r="J39" i="96"/>
  <c r="H39" i="96"/>
  <c r="F39" i="96"/>
  <c r="D39" i="96"/>
  <c r="AC38" i="96"/>
  <c r="Z38" i="96"/>
  <c r="AA38" i="96" s="1"/>
  <c r="W38" i="96"/>
  <c r="U38" i="96"/>
  <c r="X38" i="96" s="1"/>
  <c r="R38" i="96"/>
  <c r="P38" i="96"/>
  <c r="M38" i="96"/>
  <c r="N38" i="96" s="1"/>
  <c r="J38" i="96"/>
  <c r="H38" i="96"/>
  <c r="F38" i="96"/>
  <c r="D38" i="96"/>
  <c r="AC37" i="96"/>
  <c r="Z37" i="96"/>
  <c r="AA37" i="96" s="1"/>
  <c r="W37" i="96"/>
  <c r="U37" i="96"/>
  <c r="X37" i="96" s="1"/>
  <c r="R37" i="96"/>
  <c r="P37" i="96"/>
  <c r="M37" i="96"/>
  <c r="N37" i="96" s="1"/>
  <c r="J37" i="96"/>
  <c r="H37" i="96"/>
  <c r="F37" i="96"/>
  <c r="D37" i="96"/>
  <c r="AC36" i="96"/>
  <c r="Z36" i="96"/>
  <c r="AA36" i="96" s="1"/>
  <c r="W36" i="96"/>
  <c r="U36" i="96"/>
  <c r="X36" i="96" s="1"/>
  <c r="R36" i="96"/>
  <c r="P36" i="96"/>
  <c r="M36" i="96"/>
  <c r="N36" i="96" s="1"/>
  <c r="J36" i="96"/>
  <c r="H36" i="96"/>
  <c r="F36" i="96"/>
  <c r="D36" i="96"/>
  <c r="AC35" i="96"/>
  <c r="Z35" i="96"/>
  <c r="AA35" i="96" s="1"/>
  <c r="W35" i="96"/>
  <c r="U35" i="96"/>
  <c r="X35" i="96" s="1"/>
  <c r="R35" i="96"/>
  <c r="P35" i="96"/>
  <c r="S35" i="96" s="1"/>
  <c r="M35" i="96"/>
  <c r="N35" i="96" s="1"/>
  <c r="J35" i="96"/>
  <c r="H35" i="96"/>
  <c r="F35" i="96"/>
  <c r="D35" i="96"/>
  <c r="AC34" i="96"/>
  <c r="Z34" i="96"/>
  <c r="AA34" i="96" s="1"/>
  <c r="W34" i="96"/>
  <c r="U34" i="96"/>
  <c r="X34" i="96" s="1"/>
  <c r="R34" i="96"/>
  <c r="P34" i="96"/>
  <c r="M34" i="96"/>
  <c r="N34" i="96" s="1"/>
  <c r="J34" i="96"/>
  <c r="H34" i="96"/>
  <c r="F34" i="96"/>
  <c r="D34" i="96"/>
  <c r="AC33" i="96"/>
  <c r="Z33" i="96"/>
  <c r="AA33" i="96" s="1"/>
  <c r="W33" i="96"/>
  <c r="U33" i="96"/>
  <c r="R33" i="96"/>
  <c r="P33" i="96"/>
  <c r="S33" i="96" s="1"/>
  <c r="M33" i="96"/>
  <c r="N33" i="96" s="1"/>
  <c r="J33" i="96"/>
  <c r="H33" i="96"/>
  <c r="F33" i="96"/>
  <c r="D33" i="96"/>
  <c r="AC32" i="96"/>
  <c r="Z32" i="96"/>
  <c r="AA32" i="96" s="1"/>
  <c r="W32" i="96"/>
  <c r="U32" i="96"/>
  <c r="R32" i="96"/>
  <c r="P32" i="96"/>
  <c r="M32" i="96"/>
  <c r="N32" i="96" s="1"/>
  <c r="J32" i="96"/>
  <c r="H32" i="96"/>
  <c r="F32" i="96"/>
  <c r="D32" i="96"/>
  <c r="AC31" i="96"/>
  <c r="Z31" i="96"/>
  <c r="AA31" i="96" s="1"/>
  <c r="W31" i="96"/>
  <c r="U31" i="96"/>
  <c r="R31" i="96"/>
  <c r="P31" i="96"/>
  <c r="M31" i="96"/>
  <c r="N31" i="96" s="1"/>
  <c r="J31" i="96"/>
  <c r="H31" i="96"/>
  <c r="F31" i="96"/>
  <c r="D31" i="96"/>
  <c r="AC30" i="96"/>
  <c r="Z30" i="96"/>
  <c r="AA30" i="96" s="1"/>
  <c r="W30" i="96"/>
  <c r="U30" i="96"/>
  <c r="X30" i="96" s="1"/>
  <c r="R30" i="96"/>
  <c r="P30" i="96"/>
  <c r="M30" i="96"/>
  <c r="N30" i="96" s="1"/>
  <c r="J30" i="96"/>
  <c r="H30" i="96"/>
  <c r="F30" i="96"/>
  <c r="D30" i="96"/>
  <c r="AC29" i="96"/>
  <c r="Z29" i="96"/>
  <c r="AA29" i="96" s="1"/>
  <c r="W29" i="96"/>
  <c r="U29" i="96"/>
  <c r="X29" i="96" s="1"/>
  <c r="R29" i="96"/>
  <c r="P29" i="96"/>
  <c r="M29" i="96"/>
  <c r="N29" i="96" s="1"/>
  <c r="J29" i="96"/>
  <c r="H29" i="96"/>
  <c r="F29" i="96"/>
  <c r="D29" i="96"/>
  <c r="AC28" i="96"/>
  <c r="Z28" i="96"/>
  <c r="AA28" i="96" s="1"/>
  <c r="W28" i="96"/>
  <c r="U28" i="96"/>
  <c r="R28" i="96"/>
  <c r="P28" i="96"/>
  <c r="M28" i="96"/>
  <c r="N28" i="96" s="1"/>
  <c r="J28" i="96"/>
  <c r="H28" i="96"/>
  <c r="F28" i="96"/>
  <c r="D28" i="96"/>
  <c r="AC27" i="96"/>
  <c r="Z27" i="96"/>
  <c r="AA27" i="96" s="1"/>
  <c r="W27" i="96"/>
  <c r="U27" i="96"/>
  <c r="R27" i="96"/>
  <c r="P27" i="96"/>
  <c r="M27" i="96"/>
  <c r="N27" i="96" s="1"/>
  <c r="J27" i="96"/>
  <c r="H27" i="96"/>
  <c r="F27" i="96"/>
  <c r="D27" i="96"/>
  <c r="AC26" i="96"/>
  <c r="Z26" i="96"/>
  <c r="AA26" i="96" s="1"/>
  <c r="F26" i="96"/>
  <c r="AC25" i="96"/>
  <c r="Z25" i="96"/>
  <c r="AA25" i="96" s="1"/>
  <c r="W25" i="96"/>
  <c r="U25" i="96"/>
  <c r="X25" i="96" s="1"/>
  <c r="R25" i="96"/>
  <c r="P25" i="96"/>
  <c r="M25" i="96"/>
  <c r="N25" i="96" s="1"/>
  <c r="J25" i="96"/>
  <c r="H25" i="96"/>
  <c r="F25" i="96"/>
  <c r="K25" i="96" s="1"/>
  <c r="D25" i="96"/>
  <c r="AC24" i="96"/>
  <c r="Z24" i="96"/>
  <c r="AA24" i="96" s="1"/>
  <c r="W24" i="96"/>
  <c r="U24" i="96"/>
  <c r="R24" i="96"/>
  <c r="P24" i="96"/>
  <c r="M24" i="96"/>
  <c r="N24" i="96" s="1"/>
  <c r="J24" i="96"/>
  <c r="H24" i="96"/>
  <c r="F24" i="96"/>
  <c r="D24" i="96"/>
  <c r="AC23" i="96"/>
  <c r="J23" i="96"/>
  <c r="D23" i="96"/>
  <c r="H23" i="96"/>
  <c r="AC22" i="96"/>
  <c r="AC21" i="96"/>
  <c r="Z21" i="96"/>
  <c r="AA21" i="96" s="1"/>
  <c r="W21" i="96"/>
  <c r="U21" i="96"/>
  <c r="X21" i="96" s="1"/>
  <c r="R21" i="96"/>
  <c r="P21" i="96"/>
  <c r="M21" i="96"/>
  <c r="N21" i="96" s="1"/>
  <c r="J21" i="96"/>
  <c r="H21" i="96"/>
  <c r="F21" i="96"/>
  <c r="D21" i="96"/>
  <c r="AC20" i="96"/>
  <c r="Z20" i="96"/>
  <c r="AA20" i="96" s="1"/>
  <c r="W20" i="96"/>
  <c r="U20" i="96"/>
  <c r="R20" i="96"/>
  <c r="P20" i="96"/>
  <c r="M20" i="96"/>
  <c r="N20" i="96" s="1"/>
  <c r="J20" i="96"/>
  <c r="H20" i="96"/>
  <c r="F20" i="96"/>
  <c r="D20" i="96"/>
  <c r="AC19" i="96"/>
  <c r="W19" i="96"/>
  <c r="U19" i="96"/>
  <c r="X19" i="96" s="1"/>
  <c r="R19" i="96"/>
  <c r="P19" i="96"/>
  <c r="M19" i="96"/>
  <c r="N19" i="96" s="1"/>
  <c r="H19" i="96"/>
  <c r="F19" i="96"/>
  <c r="D19" i="96"/>
  <c r="B47" i="96"/>
  <c r="AC18" i="96"/>
  <c r="Z18" i="96"/>
  <c r="AA18" i="96" s="1"/>
  <c r="W18" i="96"/>
  <c r="U18" i="96"/>
  <c r="X18" i="96" s="1"/>
  <c r="R18" i="96"/>
  <c r="P18" i="96"/>
  <c r="M18" i="96"/>
  <c r="N18" i="96" s="1"/>
  <c r="J18" i="96"/>
  <c r="H18" i="96"/>
  <c r="F18" i="96"/>
  <c r="D18" i="96"/>
  <c r="AC17" i="96"/>
  <c r="Z17" i="96"/>
  <c r="AA17" i="96" s="1"/>
  <c r="W17" i="96"/>
  <c r="U17" i="96"/>
  <c r="X17" i="96" s="1"/>
  <c r="R17" i="96"/>
  <c r="P17" i="96"/>
  <c r="M17" i="96"/>
  <c r="N17" i="96" s="1"/>
  <c r="J17" i="96"/>
  <c r="H17" i="96"/>
  <c r="F17" i="96"/>
  <c r="D17" i="96"/>
  <c r="AC16" i="96"/>
  <c r="Z16" i="96"/>
  <c r="AA16" i="96" s="1"/>
  <c r="W16" i="96"/>
  <c r="U16" i="96"/>
  <c r="R16" i="96"/>
  <c r="P16" i="96"/>
  <c r="M16" i="96"/>
  <c r="N16" i="96" s="1"/>
  <c r="J16" i="96"/>
  <c r="H16" i="96"/>
  <c r="F16" i="96"/>
  <c r="D16" i="96"/>
  <c r="AC12" i="96"/>
  <c r="V11" i="96"/>
  <c r="T11" i="96"/>
  <c r="Q11" i="96"/>
  <c r="L11" i="96"/>
  <c r="I11" i="96"/>
  <c r="G11" i="96"/>
  <c r="E11" i="96"/>
  <c r="C11" i="96"/>
  <c r="V10" i="96"/>
  <c r="T10" i="96"/>
  <c r="Q10" i="96"/>
  <c r="L10" i="96"/>
  <c r="I10" i="96"/>
  <c r="G10" i="96"/>
  <c r="E10" i="96"/>
  <c r="C10" i="96"/>
  <c r="V9" i="96"/>
  <c r="T9" i="96"/>
  <c r="Q9" i="96"/>
  <c r="L9" i="96"/>
  <c r="I9" i="96"/>
  <c r="G9" i="96"/>
  <c r="E9" i="96"/>
  <c r="C9" i="96"/>
  <c r="AC8" i="96"/>
  <c r="Y7" i="96"/>
  <c r="V7" i="96"/>
  <c r="T7" i="96"/>
  <c r="Q7" i="96"/>
  <c r="O7" i="96"/>
  <c r="L7" i="96"/>
  <c r="I7" i="96"/>
  <c r="G7" i="96"/>
  <c r="E7" i="96"/>
  <c r="C7" i="96"/>
  <c r="Y6" i="96"/>
  <c r="V6" i="96"/>
  <c r="T6" i="96"/>
  <c r="Q6" i="96"/>
  <c r="O6" i="96"/>
  <c r="L6" i="96"/>
  <c r="I6" i="96"/>
  <c r="G6" i="96"/>
  <c r="E6" i="96"/>
  <c r="C6" i="96"/>
  <c r="Y5" i="96"/>
  <c r="V5" i="96"/>
  <c r="T5" i="96"/>
  <c r="Q5" i="96"/>
  <c r="O5" i="96"/>
  <c r="L5" i="96"/>
  <c r="I5" i="96"/>
  <c r="G5" i="96"/>
  <c r="E5" i="96"/>
  <c r="C5" i="96"/>
  <c r="J17" i="95"/>
  <c r="J18" i="95"/>
  <c r="J20" i="95"/>
  <c r="J21" i="95"/>
  <c r="J24" i="95"/>
  <c r="J25" i="95"/>
  <c r="J27" i="95"/>
  <c r="J28" i="95"/>
  <c r="J29" i="95"/>
  <c r="J30" i="95"/>
  <c r="J31" i="95"/>
  <c r="J32" i="95"/>
  <c r="J33" i="95"/>
  <c r="J34" i="95"/>
  <c r="J35" i="95"/>
  <c r="J36" i="95"/>
  <c r="J37" i="95"/>
  <c r="J38" i="95"/>
  <c r="J39" i="95"/>
  <c r="J41" i="95"/>
  <c r="J42" i="95"/>
  <c r="J43" i="95"/>
  <c r="J44" i="95"/>
  <c r="J45" i="95"/>
  <c r="J46" i="95"/>
  <c r="H17" i="95"/>
  <c r="H18" i="95"/>
  <c r="H20" i="95"/>
  <c r="H21" i="95"/>
  <c r="H24" i="95"/>
  <c r="H25" i="95"/>
  <c r="H27" i="95"/>
  <c r="H28" i="95"/>
  <c r="H29" i="95"/>
  <c r="H30" i="95"/>
  <c r="H31" i="95"/>
  <c r="H32" i="95"/>
  <c r="H33" i="95"/>
  <c r="H34" i="95"/>
  <c r="H35" i="95"/>
  <c r="H36" i="95"/>
  <c r="H37" i="95"/>
  <c r="H38" i="95"/>
  <c r="H39" i="95"/>
  <c r="H41" i="95"/>
  <c r="H42" i="95"/>
  <c r="H43" i="95"/>
  <c r="H44" i="95"/>
  <c r="H45" i="95"/>
  <c r="H46" i="95"/>
  <c r="F17" i="95"/>
  <c r="F18" i="95"/>
  <c r="K18" i="95" s="1"/>
  <c r="F20" i="95"/>
  <c r="F21" i="95"/>
  <c r="F22" i="95"/>
  <c r="F24" i="95"/>
  <c r="F25" i="95"/>
  <c r="F27" i="95"/>
  <c r="F28" i="95"/>
  <c r="F29" i="95"/>
  <c r="F30" i="95"/>
  <c r="F31" i="95"/>
  <c r="F32" i="95"/>
  <c r="F33" i="95"/>
  <c r="F34" i="95"/>
  <c r="F35" i="95"/>
  <c r="F36" i="95"/>
  <c r="F37" i="95"/>
  <c r="F38" i="95"/>
  <c r="F39" i="95"/>
  <c r="F41" i="95"/>
  <c r="F42" i="95"/>
  <c r="F43" i="95"/>
  <c r="F44" i="95"/>
  <c r="F45" i="95"/>
  <c r="F46" i="95"/>
  <c r="D17" i="95"/>
  <c r="D18" i="95"/>
  <c r="D20" i="95"/>
  <c r="D21" i="95"/>
  <c r="D24" i="95"/>
  <c r="D25" i="95"/>
  <c r="D27" i="95"/>
  <c r="D28" i="95"/>
  <c r="D29" i="95"/>
  <c r="D30" i="95"/>
  <c r="D31" i="95"/>
  <c r="D32" i="95"/>
  <c r="D33" i="95"/>
  <c r="D34" i="95"/>
  <c r="D35" i="95"/>
  <c r="D36" i="95"/>
  <c r="D37" i="95"/>
  <c r="D38" i="95"/>
  <c r="D39" i="95"/>
  <c r="D41" i="95"/>
  <c r="D42" i="95"/>
  <c r="D43" i="95"/>
  <c r="D44" i="95"/>
  <c r="D45" i="95"/>
  <c r="D46" i="95"/>
  <c r="R17" i="95"/>
  <c r="R18" i="95"/>
  <c r="R20" i="95"/>
  <c r="R21" i="95"/>
  <c r="R23" i="95"/>
  <c r="R24" i="95"/>
  <c r="R25" i="95"/>
  <c r="R26" i="95"/>
  <c r="R27" i="95"/>
  <c r="R28" i="95"/>
  <c r="R29" i="95"/>
  <c r="R30" i="95"/>
  <c r="R31" i="95"/>
  <c r="R32" i="95"/>
  <c r="R33" i="95"/>
  <c r="R34" i="95"/>
  <c r="R35" i="95"/>
  <c r="R36" i="95"/>
  <c r="R37" i="95"/>
  <c r="R38" i="95"/>
  <c r="R39" i="95"/>
  <c r="R41" i="95"/>
  <c r="R42" i="95"/>
  <c r="R43" i="95"/>
  <c r="R44" i="95"/>
  <c r="R45" i="95"/>
  <c r="R46" i="95"/>
  <c r="P17" i="95"/>
  <c r="S17" i="95" s="1"/>
  <c r="P18" i="95"/>
  <c r="P19" i="95"/>
  <c r="P20" i="95"/>
  <c r="S20" i="95" s="1"/>
  <c r="P21" i="95"/>
  <c r="S21" i="95" s="1"/>
  <c r="P24" i="95"/>
  <c r="P25" i="95"/>
  <c r="P27" i="95"/>
  <c r="P28" i="95"/>
  <c r="S28" i="95" s="1"/>
  <c r="P29" i="95"/>
  <c r="S29" i="95" s="1"/>
  <c r="P30" i="95"/>
  <c r="P31" i="95"/>
  <c r="S31" i="95" s="1"/>
  <c r="P32" i="95"/>
  <c r="S32" i="95" s="1"/>
  <c r="P33" i="95"/>
  <c r="S33" i="95" s="1"/>
  <c r="P34" i="95"/>
  <c r="P35" i="95"/>
  <c r="P36" i="95"/>
  <c r="P37" i="95"/>
  <c r="P38" i="95"/>
  <c r="P39" i="95"/>
  <c r="P41" i="95"/>
  <c r="S41" i="95" s="1"/>
  <c r="P42" i="95"/>
  <c r="P43" i="95"/>
  <c r="S43" i="95" s="1"/>
  <c r="P44" i="95"/>
  <c r="S44" i="95" s="1"/>
  <c r="P45" i="95"/>
  <c r="S45" i="95" s="1"/>
  <c r="P46" i="95"/>
  <c r="M17" i="95"/>
  <c r="M18" i="95"/>
  <c r="M20" i="95"/>
  <c r="M21" i="95"/>
  <c r="M24" i="95"/>
  <c r="M25" i="95"/>
  <c r="M27" i="95"/>
  <c r="M28" i="95"/>
  <c r="M29" i="95"/>
  <c r="M30" i="95"/>
  <c r="M31" i="95"/>
  <c r="M32" i="95"/>
  <c r="M33" i="95"/>
  <c r="M34" i="95"/>
  <c r="M35" i="95"/>
  <c r="M36" i="95"/>
  <c r="M37" i="95"/>
  <c r="M38" i="95"/>
  <c r="M39" i="95"/>
  <c r="M41" i="95"/>
  <c r="M42" i="95"/>
  <c r="M43" i="95"/>
  <c r="M44" i="95"/>
  <c r="M45" i="95"/>
  <c r="M46" i="95"/>
  <c r="B19" i="95"/>
  <c r="J19" i="95" s="1"/>
  <c r="F52" i="95"/>
  <c r="F53" i="95"/>
  <c r="F54" i="95"/>
  <c r="F55" i="95"/>
  <c r="F56" i="95"/>
  <c r="E25" i="78" s="1"/>
  <c r="F57" i="95"/>
  <c r="F58" i="95"/>
  <c r="B40" i="95"/>
  <c r="J40" i="95" s="1"/>
  <c r="Z37" i="95"/>
  <c r="AA37" i="95" s="1"/>
  <c r="AC37" i="95"/>
  <c r="W37" i="95"/>
  <c r="U37" i="95"/>
  <c r="X37" i="95" s="1"/>
  <c r="B26" i="95"/>
  <c r="H26" i="95" s="1"/>
  <c r="B23" i="95"/>
  <c r="Z23" i="95" s="1"/>
  <c r="AA23" i="95" s="1"/>
  <c r="B22" i="95"/>
  <c r="H22" i="95" s="1"/>
  <c r="AC18" i="95"/>
  <c r="Z18" i="95"/>
  <c r="AA18" i="95" s="1"/>
  <c r="W18" i="95"/>
  <c r="U18" i="95"/>
  <c r="B11" i="95"/>
  <c r="B10" i="95"/>
  <c r="B9" i="95"/>
  <c r="P9" i="95" s="1"/>
  <c r="AC8" i="95"/>
  <c r="I33" i="33"/>
  <c r="G30" i="33"/>
  <c r="G31" i="33"/>
  <c r="G32" i="33"/>
  <c r="G29" i="33"/>
  <c r="G40" i="33"/>
  <c r="G41" i="33"/>
  <c r="G42" i="33"/>
  <c r="I42" i="33" s="1"/>
  <c r="G39" i="33"/>
  <c r="H40" i="33"/>
  <c r="H41" i="33"/>
  <c r="H42" i="33"/>
  <c r="E40" i="33"/>
  <c r="E42" i="33"/>
  <c r="E39" i="33"/>
  <c r="D40" i="33"/>
  <c r="I40" i="33" s="1"/>
  <c r="D42" i="33"/>
  <c r="D39" i="33"/>
  <c r="H30" i="33"/>
  <c r="H31" i="33"/>
  <c r="H32" i="33"/>
  <c r="H29" i="33"/>
  <c r="E30" i="33"/>
  <c r="E31" i="33"/>
  <c r="E32" i="33"/>
  <c r="E29" i="33"/>
  <c r="D30" i="33"/>
  <c r="I30" i="33" s="1"/>
  <c r="D31" i="33"/>
  <c r="I31" i="33" s="1"/>
  <c r="D32" i="33"/>
  <c r="D29" i="33"/>
  <c r="I29" i="33" s="1"/>
  <c r="G59" i="95"/>
  <c r="B59" i="95"/>
  <c r="G58" i="95"/>
  <c r="D58" i="95"/>
  <c r="G57" i="95"/>
  <c r="D57" i="95"/>
  <c r="G56" i="95"/>
  <c r="D56" i="95"/>
  <c r="E6" i="78" s="1"/>
  <c r="G55" i="95"/>
  <c r="D55" i="95"/>
  <c r="G54" i="95"/>
  <c r="D54" i="95"/>
  <c r="G53" i="95"/>
  <c r="D53" i="95"/>
  <c r="G52" i="95"/>
  <c r="D52" i="95"/>
  <c r="G51" i="95"/>
  <c r="F51" i="95"/>
  <c r="E24" i="78" s="1"/>
  <c r="D51" i="95"/>
  <c r="E5" i="78" s="1"/>
  <c r="AC47" i="95"/>
  <c r="AC46" i="95"/>
  <c r="Z46" i="95"/>
  <c r="AA46" i="95" s="1"/>
  <c r="W46" i="95"/>
  <c r="U46" i="95"/>
  <c r="X46" i="95" s="1"/>
  <c r="AC45" i="95"/>
  <c r="Z45" i="95"/>
  <c r="AA45" i="95" s="1"/>
  <c r="W45" i="95"/>
  <c r="U45" i="95"/>
  <c r="AC44" i="95"/>
  <c r="Z44" i="95"/>
  <c r="AA44" i="95" s="1"/>
  <c r="W44" i="95"/>
  <c r="U44" i="95"/>
  <c r="X44" i="95" s="1"/>
  <c r="AC43" i="95"/>
  <c r="Z43" i="95"/>
  <c r="AA43" i="95" s="1"/>
  <c r="W43" i="95"/>
  <c r="U43" i="95"/>
  <c r="X43" i="95" s="1"/>
  <c r="AC42" i="95"/>
  <c r="Z42" i="95"/>
  <c r="AA42" i="95" s="1"/>
  <c r="W42" i="95"/>
  <c r="U42" i="95"/>
  <c r="AC41" i="95"/>
  <c r="Z41" i="95"/>
  <c r="AA41" i="95" s="1"/>
  <c r="W41" i="95"/>
  <c r="U41" i="95"/>
  <c r="X41" i="95" s="1"/>
  <c r="AC40" i="95"/>
  <c r="AC39" i="95"/>
  <c r="W39" i="95"/>
  <c r="U39" i="95"/>
  <c r="AC38" i="95"/>
  <c r="Z38" i="95"/>
  <c r="AA38" i="95" s="1"/>
  <c r="W38" i="95"/>
  <c r="U38" i="95"/>
  <c r="X38" i="95" s="1"/>
  <c r="AC36" i="95"/>
  <c r="Z36" i="95"/>
  <c r="AA36" i="95" s="1"/>
  <c r="W36" i="95"/>
  <c r="U36" i="95"/>
  <c r="AC35" i="95"/>
  <c r="W35" i="95"/>
  <c r="AC34" i="95"/>
  <c r="Z34" i="95"/>
  <c r="AA34" i="95" s="1"/>
  <c r="W34" i="95"/>
  <c r="U34" i="95"/>
  <c r="AC33" i="95"/>
  <c r="Z33" i="95"/>
  <c r="AA33" i="95" s="1"/>
  <c r="W33" i="95"/>
  <c r="U33" i="95"/>
  <c r="AC32" i="95"/>
  <c r="Z32" i="95"/>
  <c r="AA32" i="95" s="1"/>
  <c r="W32" i="95"/>
  <c r="U32" i="95"/>
  <c r="X32" i="95" s="1"/>
  <c r="AC31" i="95"/>
  <c r="Z31" i="95"/>
  <c r="AA31" i="95" s="1"/>
  <c r="W31" i="95"/>
  <c r="U31" i="95"/>
  <c r="AC30" i="95"/>
  <c r="Z30" i="95"/>
  <c r="AA30" i="95" s="1"/>
  <c r="W30" i="95"/>
  <c r="U30" i="95"/>
  <c r="X30" i="95" s="1"/>
  <c r="AC29" i="95"/>
  <c r="Z29" i="95"/>
  <c r="AA29" i="95" s="1"/>
  <c r="W29" i="95"/>
  <c r="U29" i="95"/>
  <c r="X29" i="95" s="1"/>
  <c r="AC28" i="95"/>
  <c r="Z28" i="95"/>
  <c r="AA28" i="95" s="1"/>
  <c r="W28" i="95"/>
  <c r="U28" i="95"/>
  <c r="X28" i="95" s="1"/>
  <c r="AC27" i="95"/>
  <c r="W27" i="95"/>
  <c r="U27" i="95"/>
  <c r="X27" i="95" s="1"/>
  <c r="AC26" i="95"/>
  <c r="W26" i="95"/>
  <c r="U26" i="95"/>
  <c r="AC25" i="95"/>
  <c r="Z25" i="95"/>
  <c r="AA25" i="95" s="1"/>
  <c r="W25" i="95"/>
  <c r="U25" i="95"/>
  <c r="AC24" i="95"/>
  <c r="Z24" i="95"/>
  <c r="AA24" i="95" s="1"/>
  <c r="W24" i="95"/>
  <c r="U24" i="95"/>
  <c r="X24" i="95" s="1"/>
  <c r="AC23" i="95"/>
  <c r="U23" i="95"/>
  <c r="AC22" i="95"/>
  <c r="U22" i="95"/>
  <c r="AC21" i="95"/>
  <c r="Z21" i="95"/>
  <c r="AA21" i="95" s="1"/>
  <c r="W21" i="95"/>
  <c r="U21" i="95"/>
  <c r="K21" i="95"/>
  <c r="AC20" i="95"/>
  <c r="Z20" i="95"/>
  <c r="AA20" i="95" s="1"/>
  <c r="W20" i="95"/>
  <c r="U20" i="95"/>
  <c r="X20" i="95" s="1"/>
  <c r="AC19" i="95"/>
  <c r="W19" i="95"/>
  <c r="AC17" i="95"/>
  <c r="AC16" i="95"/>
  <c r="Z16" i="95"/>
  <c r="AA16" i="95" s="1"/>
  <c r="W16" i="95"/>
  <c r="U16" i="95"/>
  <c r="R16" i="95"/>
  <c r="P16" i="95"/>
  <c r="S16" i="95" s="1"/>
  <c r="M16" i="95"/>
  <c r="J16" i="95"/>
  <c r="H16" i="95"/>
  <c r="F16" i="95"/>
  <c r="D16" i="95"/>
  <c r="AC12" i="95"/>
  <c r="V11" i="95"/>
  <c r="T11" i="95"/>
  <c r="Q11" i="95"/>
  <c r="L11" i="95"/>
  <c r="I11" i="95"/>
  <c r="G11" i="95"/>
  <c r="E11" i="95"/>
  <c r="C11" i="95"/>
  <c r="V10" i="95"/>
  <c r="T10" i="95"/>
  <c r="Q10" i="95"/>
  <c r="L10" i="95"/>
  <c r="I10" i="95"/>
  <c r="G10" i="95"/>
  <c r="E10" i="95"/>
  <c r="C10" i="95"/>
  <c r="V9" i="95"/>
  <c r="W9" i="95" s="1"/>
  <c r="X9" i="95" s="1"/>
  <c r="T9" i="95"/>
  <c r="Q9" i="95"/>
  <c r="L9" i="95"/>
  <c r="I9" i="95"/>
  <c r="G9" i="95"/>
  <c r="E9" i="95"/>
  <c r="C9" i="95"/>
  <c r="Y7" i="95"/>
  <c r="V7" i="95"/>
  <c r="T7" i="95"/>
  <c r="Q7" i="95"/>
  <c r="O7" i="95"/>
  <c r="L7" i="95"/>
  <c r="I7" i="95"/>
  <c r="G7" i="95"/>
  <c r="E7" i="95"/>
  <c r="C7" i="95"/>
  <c r="Y6" i="95"/>
  <c r="V6" i="95"/>
  <c r="T6" i="95"/>
  <c r="Q6" i="95"/>
  <c r="O6" i="95"/>
  <c r="L6" i="95"/>
  <c r="I6" i="95"/>
  <c r="G6" i="95"/>
  <c r="E6" i="95"/>
  <c r="C6" i="95"/>
  <c r="Y5" i="95"/>
  <c r="V5" i="95"/>
  <c r="T5" i="95"/>
  <c r="Q5" i="95"/>
  <c r="O5" i="95"/>
  <c r="L5" i="95"/>
  <c r="I5" i="95"/>
  <c r="G5" i="95"/>
  <c r="E5" i="95"/>
  <c r="C5" i="95"/>
  <c r="C30" i="85"/>
  <c r="D30" i="85"/>
  <c r="E30" i="85"/>
  <c r="D49" i="81"/>
  <c r="D50" i="81"/>
  <c r="D51" i="81"/>
  <c r="D52" i="81"/>
  <c r="D53" i="81"/>
  <c r="D6" i="78" s="1"/>
  <c r="D54" i="81"/>
  <c r="D55" i="81"/>
  <c r="D48" i="81"/>
  <c r="B37" i="81"/>
  <c r="B36" i="81"/>
  <c r="Z36" i="81" s="1"/>
  <c r="AC36" i="81"/>
  <c r="D36" i="81"/>
  <c r="AC41" i="81"/>
  <c r="Z41" i="81"/>
  <c r="W41" i="81"/>
  <c r="U41" i="81"/>
  <c r="R41" i="81"/>
  <c r="P41" i="81"/>
  <c r="M41" i="81"/>
  <c r="J41" i="81"/>
  <c r="H41" i="81"/>
  <c r="F41" i="81"/>
  <c r="D41" i="81"/>
  <c r="B33" i="81"/>
  <c r="AC25" i="81"/>
  <c r="B25" i="81"/>
  <c r="Z25" i="81" s="1"/>
  <c r="B24" i="81"/>
  <c r="B20" i="81"/>
  <c r="V9" i="81"/>
  <c r="T9" i="81"/>
  <c r="Q9" i="81"/>
  <c r="L9" i="81"/>
  <c r="I9" i="81"/>
  <c r="G9" i="81"/>
  <c r="E9" i="81"/>
  <c r="C9" i="81"/>
  <c r="D49" i="33"/>
  <c r="D48" i="33"/>
  <c r="D47" i="33"/>
  <c r="H39" i="33"/>
  <c r="C34" i="33"/>
  <c r="B34" i="33"/>
  <c r="D22" i="33"/>
  <c r="I8" i="33"/>
  <c r="B16" i="81" s="1"/>
  <c r="H6" i="33"/>
  <c r="H7" i="33"/>
  <c r="H5" i="33"/>
  <c r="E6" i="33"/>
  <c r="E7" i="33"/>
  <c r="E5" i="33"/>
  <c r="D6" i="33"/>
  <c r="D7" i="33"/>
  <c r="D5" i="33"/>
  <c r="G6" i="33"/>
  <c r="G7" i="33"/>
  <c r="G5" i="33"/>
  <c r="AB16" i="96" l="1"/>
  <c r="S20" i="96"/>
  <c r="AB28" i="96"/>
  <c r="AB40" i="96"/>
  <c r="K16" i="96"/>
  <c r="S43" i="96"/>
  <c r="S19" i="96"/>
  <c r="X20" i="96"/>
  <c r="X33" i="96"/>
  <c r="X44" i="96"/>
  <c r="S30" i="96"/>
  <c r="X32" i="96"/>
  <c r="AB32" i="96" s="1"/>
  <c r="X43" i="96"/>
  <c r="X31" i="96"/>
  <c r="X42" i="96"/>
  <c r="R22" i="96"/>
  <c r="AB35" i="96"/>
  <c r="AB46" i="96"/>
  <c r="X16" i="96"/>
  <c r="X24" i="96"/>
  <c r="X28" i="96"/>
  <c r="X40" i="96"/>
  <c r="AB18" i="96"/>
  <c r="X27" i="96"/>
  <c r="X39" i="96"/>
  <c r="AB43" i="96"/>
  <c r="S10" i="98"/>
  <c r="X11" i="98"/>
  <c r="X10" i="98"/>
  <c r="S11" i="98"/>
  <c r="D50" i="97"/>
  <c r="S48" i="97"/>
  <c r="AD48" i="97" s="1"/>
  <c r="S41" i="97"/>
  <c r="AD41" i="97" s="1"/>
  <c r="AD18" i="97"/>
  <c r="Z50" i="97"/>
  <c r="F50" i="97"/>
  <c r="R50" i="97"/>
  <c r="P50" i="97"/>
  <c r="AD33" i="97"/>
  <c r="AD28" i="97"/>
  <c r="M50" i="97"/>
  <c r="N50" i="97" s="1"/>
  <c r="K40" i="97"/>
  <c r="AD40" i="97" s="1"/>
  <c r="S36" i="96"/>
  <c r="S32" i="96"/>
  <c r="E107" i="101" s="1"/>
  <c r="O107" i="101" s="1"/>
  <c r="S31" i="96"/>
  <c r="S42" i="96"/>
  <c r="E118" i="101" s="1"/>
  <c r="O118" i="101" s="1"/>
  <c r="S16" i="96"/>
  <c r="E90" i="101" s="1"/>
  <c r="O90" i="101" s="1"/>
  <c r="S27" i="96"/>
  <c r="D10" i="96"/>
  <c r="S38" i="96"/>
  <c r="S18" i="96"/>
  <c r="S41" i="96"/>
  <c r="S17" i="96"/>
  <c r="S25" i="96"/>
  <c r="AB25" i="96" s="1"/>
  <c r="S29" i="96"/>
  <c r="S24" i="96"/>
  <c r="AB24" i="96" s="1"/>
  <c r="S28" i="96"/>
  <c r="S40" i="96"/>
  <c r="D9" i="96"/>
  <c r="S39" i="96"/>
  <c r="K21" i="96"/>
  <c r="AB21" i="96" s="1"/>
  <c r="F11" i="96"/>
  <c r="S37" i="96"/>
  <c r="S21" i="96"/>
  <c r="K30" i="96"/>
  <c r="AB30" i="96" s="1"/>
  <c r="K31" i="96"/>
  <c r="AB31" i="96" s="1"/>
  <c r="S34" i="96"/>
  <c r="K41" i="96"/>
  <c r="AB41" i="96" s="1"/>
  <c r="S45" i="96"/>
  <c r="AC10" i="96"/>
  <c r="K46" i="96"/>
  <c r="H10" i="96"/>
  <c r="AC9" i="96"/>
  <c r="AC7" i="96"/>
  <c r="AC6" i="96"/>
  <c r="M9" i="96"/>
  <c r="N9" i="96" s="1"/>
  <c r="Z10" i="96"/>
  <c r="AA10" i="96" s="1"/>
  <c r="K27" i="96"/>
  <c r="AB27" i="96" s="1"/>
  <c r="K28" i="96"/>
  <c r="K39" i="96"/>
  <c r="AB39" i="96" s="1"/>
  <c r="AC5" i="96"/>
  <c r="X31" i="95"/>
  <c r="X34" i="95"/>
  <c r="S24" i="95"/>
  <c r="S36" i="95"/>
  <c r="X16" i="95"/>
  <c r="X21" i="95"/>
  <c r="X25" i="95"/>
  <c r="X39" i="95"/>
  <c r="X18" i="95"/>
  <c r="Z40" i="95"/>
  <c r="AA40" i="95" s="1"/>
  <c r="R22" i="95"/>
  <c r="H19" i="95"/>
  <c r="J23" i="95"/>
  <c r="M40" i="95"/>
  <c r="X26" i="95"/>
  <c r="X36" i="95"/>
  <c r="M26" i="95"/>
  <c r="J22" i="95"/>
  <c r="K22" i="95" s="1"/>
  <c r="X33" i="95"/>
  <c r="F26" i="95"/>
  <c r="D40" i="95"/>
  <c r="M23" i="95"/>
  <c r="P40" i="95"/>
  <c r="K37" i="95"/>
  <c r="M22" i="95"/>
  <c r="S39" i="95"/>
  <c r="S27" i="95"/>
  <c r="D19" i="95"/>
  <c r="X42" i="95"/>
  <c r="X45" i="95"/>
  <c r="F23" i="95"/>
  <c r="H40" i="95"/>
  <c r="X41" i="81"/>
  <c r="F36" i="81"/>
  <c r="H36" i="81"/>
  <c r="J36" i="81"/>
  <c r="M36" i="81"/>
  <c r="P36" i="81"/>
  <c r="S41" i="81"/>
  <c r="R11" i="95"/>
  <c r="J26" i="95"/>
  <c r="S42" i="95"/>
  <c r="S30" i="95"/>
  <c r="S18" i="95"/>
  <c r="AD18" i="95" s="1"/>
  <c r="E7" i="78"/>
  <c r="E26" i="78"/>
  <c r="S38" i="95"/>
  <c r="P26" i="95"/>
  <c r="S26" i="95" s="1"/>
  <c r="D26" i="95"/>
  <c r="K44" i="95"/>
  <c r="M19" i="95"/>
  <c r="S37" i="95"/>
  <c r="S25" i="95"/>
  <c r="R19" i="95"/>
  <c r="S19" i="95" s="1"/>
  <c r="F19" i="95"/>
  <c r="AC7" i="95"/>
  <c r="S35" i="95"/>
  <c r="P23" i="95"/>
  <c r="S23" i="95" s="1"/>
  <c r="D23" i="95"/>
  <c r="H23" i="95"/>
  <c r="S46" i="95"/>
  <c r="S34" i="95"/>
  <c r="P22" i="95"/>
  <c r="R40" i="95"/>
  <c r="S40" i="95" s="1"/>
  <c r="D22" i="95"/>
  <c r="F40" i="95"/>
  <c r="D117" i="85"/>
  <c r="J10" i="95"/>
  <c r="C120" i="45"/>
  <c r="K36" i="81"/>
  <c r="K11" i="98"/>
  <c r="AB11" i="98" s="1"/>
  <c r="P5" i="98"/>
  <c r="R5" i="98"/>
  <c r="Z5" i="98"/>
  <c r="AA5" i="98" s="1"/>
  <c r="J5" i="98"/>
  <c r="M5" i="98"/>
  <c r="N5" i="98" s="1"/>
  <c r="U5" i="98"/>
  <c r="W5" i="98"/>
  <c r="F5" i="98"/>
  <c r="D5" i="98"/>
  <c r="H5" i="98"/>
  <c r="R8" i="98"/>
  <c r="D8" i="98"/>
  <c r="P8" i="98"/>
  <c r="S8" i="98" s="1"/>
  <c r="W8" i="98"/>
  <c r="X8" i="98" s="1"/>
  <c r="Z8" i="98"/>
  <c r="AA8" i="98" s="1"/>
  <c r="F8" i="98"/>
  <c r="J8" i="98"/>
  <c r="M8" i="98"/>
  <c r="N8" i="98" s="1"/>
  <c r="H8" i="98"/>
  <c r="I85" i="33"/>
  <c r="B7" i="97"/>
  <c r="D60" i="33"/>
  <c r="F11" i="97"/>
  <c r="K11" i="97" s="1"/>
  <c r="F5" i="97"/>
  <c r="K5" i="97" s="1"/>
  <c r="U5" i="97"/>
  <c r="K10" i="98"/>
  <c r="AB10" i="98" s="1"/>
  <c r="D43" i="33"/>
  <c r="J9" i="95"/>
  <c r="E60" i="33"/>
  <c r="G69" i="33"/>
  <c r="W11" i="97"/>
  <c r="Z5" i="97"/>
  <c r="D11" i="97"/>
  <c r="P5" i="97"/>
  <c r="M5" i="97"/>
  <c r="N5" i="97" s="1"/>
  <c r="R5" i="97"/>
  <c r="R11" i="97"/>
  <c r="S11" i="97" s="1"/>
  <c r="B8" i="97"/>
  <c r="H43" i="33"/>
  <c r="I32" i="33"/>
  <c r="I55" i="33"/>
  <c r="B7" i="96" s="1"/>
  <c r="D7" i="96" s="1"/>
  <c r="H69" i="33"/>
  <c r="I66" i="33"/>
  <c r="I69" i="33" s="1"/>
  <c r="Z11" i="97"/>
  <c r="J11" i="97"/>
  <c r="J5" i="97"/>
  <c r="D5" i="97"/>
  <c r="B6" i="97"/>
  <c r="B12" i="97" s="1"/>
  <c r="B64" i="97" s="1"/>
  <c r="M10" i="95"/>
  <c r="P9" i="96"/>
  <c r="F10" i="96"/>
  <c r="D11" i="96"/>
  <c r="F9" i="95"/>
  <c r="R10" i="95"/>
  <c r="H11" i="95"/>
  <c r="H9" i="96"/>
  <c r="W11" i="96"/>
  <c r="E132" i="45"/>
  <c r="AD45" i="97"/>
  <c r="AD44" i="97"/>
  <c r="AD17" i="97"/>
  <c r="AD46" i="97"/>
  <c r="AD29" i="97"/>
  <c r="AD32" i="97"/>
  <c r="AD19" i="97"/>
  <c r="W50" i="97"/>
  <c r="U50" i="97"/>
  <c r="AD20" i="97"/>
  <c r="AD25" i="97"/>
  <c r="AD21" i="97"/>
  <c r="AD42" i="97"/>
  <c r="H50" i="97"/>
  <c r="AD36" i="97"/>
  <c r="AD39" i="97"/>
  <c r="AD24" i="97"/>
  <c r="AD16" i="97"/>
  <c r="AD30" i="97"/>
  <c r="AD34" i="97"/>
  <c r="H62" i="97"/>
  <c r="AD43" i="97"/>
  <c r="AD35" i="97"/>
  <c r="AD38" i="97"/>
  <c r="K9" i="97"/>
  <c r="AD27" i="97"/>
  <c r="AD49" i="97"/>
  <c r="AD31" i="97"/>
  <c r="AD37" i="97"/>
  <c r="I94" i="33"/>
  <c r="K23" i="97"/>
  <c r="K10" i="97"/>
  <c r="H52" i="96"/>
  <c r="H54" i="96"/>
  <c r="H59" i="96"/>
  <c r="H57" i="95"/>
  <c r="AC11" i="96"/>
  <c r="K17" i="96"/>
  <c r="AB17" i="96" s="1"/>
  <c r="H53" i="96"/>
  <c r="K36" i="96"/>
  <c r="AB36" i="96" s="1"/>
  <c r="D51" i="96"/>
  <c r="B60" i="96"/>
  <c r="E132" i="101" s="1"/>
  <c r="O132" i="101" s="1"/>
  <c r="H58" i="96"/>
  <c r="H55" i="96"/>
  <c r="H56" i="96"/>
  <c r="K24" i="96"/>
  <c r="K29" i="96"/>
  <c r="AB29" i="96" s="1"/>
  <c r="K40" i="96"/>
  <c r="K38" i="96"/>
  <c r="AB38" i="96" s="1"/>
  <c r="K37" i="96"/>
  <c r="AB37" i="96" s="1"/>
  <c r="K20" i="96"/>
  <c r="AB20" i="96" s="1"/>
  <c r="K35" i="96"/>
  <c r="K45" i="96"/>
  <c r="AB45" i="96" s="1"/>
  <c r="K33" i="96"/>
  <c r="AB33" i="96" s="1"/>
  <c r="K34" i="96"/>
  <c r="AB34" i="96" s="1"/>
  <c r="K44" i="96"/>
  <c r="AB44" i="96" s="1"/>
  <c r="K18" i="96"/>
  <c r="K32" i="96"/>
  <c r="K43" i="96"/>
  <c r="K42" i="96"/>
  <c r="AB42" i="96" s="1"/>
  <c r="I56" i="33"/>
  <c r="I57" i="33"/>
  <c r="B8" i="96" s="1"/>
  <c r="D8" i="96" s="1"/>
  <c r="I58" i="33"/>
  <c r="E69" i="33"/>
  <c r="I68" i="33"/>
  <c r="B6" i="96" s="1"/>
  <c r="D6" i="96" s="1"/>
  <c r="I67" i="33"/>
  <c r="D69" i="33"/>
  <c r="G60" i="33"/>
  <c r="B6" i="95"/>
  <c r="D6" i="95" s="1"/>
  <c r="B5" i="95"/>
  <c r="M9" i="95"/>
  <c r="R9" i="95"/>
  <c r="S9" i="95" s="1"/>
  <c r="Z11" i="96"/>
  <c r="AA11" i="96" s="1"/>
  <c r="H10" i="95"/>
  <c r="P11" i="95"/>
  <c r="S11" i="95" s="1"/>
  <c r="R9" i="96"/>
  <c r="H9" i="95"/>
  <c r="P10" i="95"/>
  <c r="P10" i="96"/>
  <c r="D34" i="33"/>
  <c r="M11" i="96"/>
  <c r="N11" i="96" s="1"/>
  <c r="W9" i="96"/>
  <c r="X9" i="96" s="1"/>
  <c r="R10" i="96"/>
  <c r="Z9" i="96"/>
  <c r="AA9" i="96" s="1"/>
  <c r="P11" i="96"/>
  <c r="F11" i="95"/>
  <c r="J11" i="95"/>
  <c r="U10" i="96"/>
  <c r="X10" i="96" s="1"/>
  <c r="R11" i="96"/>
  <c r="H34" i="33"/>
  <c r="F10" i="95"/>
  <c r="M11" i="95"/>
  <c r="F9" i="96"/>
  <c r="W10" i="96"/>
  <c r="U11" i="96"/>
  <c r="X11" i="96" s="1"/>
  <c r="J9" i="96"/>
  <c r="U22" i="96"/>
  <c r="J26" i="96"/>
  <c r="J10" i="96"/>
  <c r="H11" i="96"/>
  <c r="Z19" i="96"/>
  <c r="AA19" i="96" s="1"/>
  <c r="W22" i="96"/>
  <c r="M23" i="96"/>
  <c r="F60" i="96"/>
  <c r="Z22" i="96"/>
  <c r="AA22" i="96" s="1"/>
  <c r="P23" i="96"/>
  <c r="M26" i="96"/>
  <c r="N26" i="96" s="1"/>
  <c r="J11" i="96"/>
  <c r="D22" i="96"/>
  <c r="R23" i="96"/>
  <c r="P26" i="96"/>
  <c r="M10" i="96"/>
  <c r="N10" i="96" s="1"/>
  <c r="F22" i="96"/>
  <c r="R26" i="96"/>
  <c r="H26" i="96"/>
  <c r="J19" i="96"/>
  <c r="K19" i="96" s="1"/>
  <c r="AB19" i="96" s="1"/>
  <c r="H22" i="96"/>
  <c r="U23" i="96"/>
  <c r="Z40" i="96"/>
  <c r="AA40" i="96" s="1"/>
  <c r="J22" i="96"/>
  <c r="W23" i="96"/>
  <c r="U26" i="96"/>
  <c r="Z23" i="96"/>
  <c r="AA23" i="96" s="1"/>
  <c r="W26" i="96"/>
  <c r="P22" i="96"/>
  <c r="S22" i="96" s="1"/>
  <c r="F23" i="96"/>
  <c r="K23" i="96" s="1"/>
  <c r="D26" i="96"/>
  <c r="AD37" i="95"/>
  <c r="AD44" i="95"/>
  <c r="AD21" i="95"/>
  <c r="U19" i="95"/>
  <c r="X19" i="95" s="1"/>
  <c r="Z19" i="95"/>
  <c r="AA19" i="95" s="1"/>
  <c r="H58" i="95"/>
  <c r="H53" i="95"/>
  <c r="H52" i="95"/>
  <c r="H54" i="95"/>
  <c r="H55" i="95"/>
  <c r="K38" i="95"/>
  <c r="AD38" i="95" s="1"/>
  <c r="AC9" i="95"/>
  <c r="Z22" i="95"/>
  <c r="AA22" i="95" s="1"/>
  <c r="AC6" i="95"/>
  <c r="F59" i="95"/>
  <c r="K36" i="95"/>
  <c r="AD36" i="95" s="1"/>
  <c r="K23" i="95"/>
  <c r="W23" i="95"/>
  <c r="X23" i="95" s="1"/>
  <c r="K46" i="95"/>
  <c r="AD46" i="95" s="1"/>
  <c r="D9" i="95"/>
  <c r="Z9" i="95"/>
  <c r="AA9" i="95" s="1"/>
  <c r="AC11" i="95"/>
  <c r="K20" i="95"/>
  <c r="K45" i="95"/>
  <c r="AD45" i="95" s="1"/>
  <c r="H51" i="95"/>
  <c r="K33" i="95"/>
  <c r="AD33" i="95" s="1"/>
  <c r="AC10" i="95"/>
  <c r="K32" i="95"/>
  <c r="K41" i="95"/>
  <c r="AD41" i="95" s="1"/>
  <c r="K43" i="95"/>
  <c r="AD43" i="95" s="1"/>
  <c r="K42" i="95"/>
  <c r="K30" i="95"/>
  <c r="K29" i="95"/>
  <c r="AD29" i="95" s="1"/>
  <c r="K28" i="95"/>
  <c r="AD28" i="95" s="1"/>
  <c r="AC5" i="95"/>
  <c r="D59" i="95"/>
  <c r="H56" i="95"/>
  <c r="K24" i="95"/>
  <c r="AD24" i="95" s="1"/>
  <c r="K25" i="95"/>
  <c r="K31" i="95"/>
  <c r="AD31" i="95" s="1"/>
  <c r="K34" i="95"/>
  <c r="AD34" i="95" s="1"/>
  <c r="K16" i="95"/>
  <c r="I41" i="33"/>
  <c r="B8" i="95" s="1"/>
  <c r="B8" i="81"/>
  <c r="G9" i="33"/>
  <c r="W17" i="95"/>
  <c r="G34" i="33"/>
  <c r="I39" i="33"/>
  <c r="B47" i="95"/>
  <c r="Z27" i="95"/>
  <c r="AA27" i="95" s="1"/>
  <c r="U17" i="95"/>
  <c r="X17" i="95" s="1"/>
  <c r="Z26" i="95"/>
  <c r="AA26" i="95" s="1"/>
  <c r="U35" i="95"/>
  <c r="X35" i="95" s="1"/>
  <c r="Z17" i="95"/>
  <c r="AA17" i="95" s="1"/>
  <c r="Z39" i="95"/>
  <c r="AA39" i="95" s="1"/>
  <c r="W22" i="95"/>
  <c r="X22" i="95" s="1"/>
  <c r="U40" i="95"/>
  <c r="K27" i="95"/>
  <c r="W40" i="95"/>
  <c r="Z35" i="95"/>
  <c r="AA35" i="95" s="1"/>
  <c r="R36" i="81"/>
  <c r="U36" i="81"/>
  <c r="W36" i="81"/>
  <c r="F25" i="81"/>
  <c r="D25" i="81"/>
  <c r="R25" i="81"/>
  <c r="J25" i="81"/>
  <c r="K41" i="81"/>
  <c r="H25" i="81"/>
  <c r="M25" i="81"/>
  <c r="P25" i="81"/>
  <c r="S25" i="81" s="1"/>
  <c r="U25" i="81"/>
  <c r="X25" i="81" s="1"/>
  <c r="W25" i="81"/>
  <c r="AC9" i="81"/>
  <c r="E43" i="33"/>
  <c r="E34" i="33"/>
  <c r="I7" i="33"/>
  <c r="I6" i="33"/>
  <c r="X22" i="96" l="1"/>
  <c r="X26" i="96"/>
  <c r="X23" i="96"/>
  <c r="AB10" i="96"/>
  <c r="X5" i="98"/>
  <c r="S5" i="98"/>
  <c r="K50" i="97"/>
  <c r="E119" i="45" s="1"/>
  <c r="S50" i="97"/>
  <c r="S5" i="97"/>
  <c r="AD36" i="96"/>
  <c r="K10" i="96"/>
  <c r="AD41" i="96"/>
  <c r="AD46" i="96"/>
  <c r="AD21" i="96"/>
  <c r="AD39" i="96"/>
  <c r="AD30" i="96"/>
  <c r="AD31" i="96"/>
  <c r="S11" i="96"/>
  <c r="S23" i="96"/>
  <c r="AD28" i="96"/>
  <c r="AD45" i="96"/>
  <c r="S9" i="96"/>
  <c r="M47" i="96"/>
  <c r="N47" i="96" s="1"/>
  <c r="E150" i="101" s="1"/>
  <c r="O150" i="101" s="1"/>
  <c r="N23" i="96"/>
  <c r="AB23" i="96" s="1"/>
  <c r="AD35" i="96"/>
  <c r="S10" i="96"/>
  <c r="S26" i="96"/>
  <c r="AB26" i="96" s="1"/>
  <c r="AD44" i="96"/>
  <c r="D60" i="96"/>
  <c r="H60" i="96" s="1"/>
  <c r="F5" i="78"/>
  <c r="AD16" i="96"/>
  <c r="AD33" i="96"/>
  <c r="D47" i="96"/>
  <c r="AD34" i="96"/>
  <c r="AD32" i="96"/>
  <c r="J47" i="96"/>
  <c r="AD25" i="96"/>
  <c r="AD37" i="96"/>
  <c r="AD17" i="96"/>
  <c r="R47" i="96"/>
  <c r="H47" i="96"/>
  <c r="AD18" i="96"/>
  <c r="E117" i="85"/>
  <c r="D120" i="45"/>
  <c r="S22" i="95"/>
  <c r="K40" i="95"/>
  <c r="K19" i="95"/>
  <c r="AD19" i="95" s="1"/>
  <c r="X40" i="95"/>
  <c r="AD30" i="95"/>
  <c r="S10" i="95"/>
  <c r="S36" i="81"/>
  <c r="X36" i="81"/>
  <c r="AD40" i="95"/>
  <c r="AD22" i="95"/>
  <c r="AD42" i="95"/>
  <c r="AD25" i="95"/>
  <c r="AD23" i="95"/>
  <c r="AD36" i="81"/>
  <c r="K25" i="81"/>
  <c r="AD25" i="81"/>
  <c r="AD41" i="81"/>
  <c r="K9" i="95"/>
  <c r="J7" i="97"/>
  <c r="Z7" i="97"/>
  <c r="H7" i="97"/>
  <c r="M7" i="97"/>
  <c r="N7" i="97" s="1"/>
  <c r="P7" i="97"/>
  <c r="F7" i="97"/>
  <c r="R7" i="97"/>
  <c r="W7" i="97"/>
  <c r="D7" i="97"/>
  <c r="B5" i="96"/>
  <c r="D5" i="96" s="1"/>
  <c r="W6" i="98"/>
  <c r="J6" i="98"/>
  <c r="D6" i="98"/>
  <c r="P6" i="98"/>
  <c r="U6" i="98"/>
  <c r="M6" i="98"/>
  <c r="N6" i="98" s="1"/>
  <c r="F6" i="98"/>
  <c r="Z6" i="98"/>
  <c r="AA6" i="98" s="1"/>
  <c r="R6" i="98"/>
  <c r="H6" i="98"/>
  <c r="Z8" i="97"/>
  <c r="W8" i="97"/>
  <c r="D8" i="97"/>
  <c r="P8" i="97"/>
  <c r="R8" i="97"/>
  <c r="H8" i="97"/>
  <c r="J8" i="97"/>
  <c r="F8" i="97"/>
  <c r="M8" i="97"/>
  <c r="N8" i="97" s="1"/>
  <c r="B12" i="98"/>
  <c r="B64" i="98" s="1"/>
  <c r="I60" i="33"/>
  <c r="I70" i="33" s="1"/>
  <c r="I75" i="33" s="1"/>
  <c r="I95" i="33"/>
  <c r="I100" i="33" s="1"/>
  <c r="H7" i="98"/>
  <c r="D7" i="98"/>
  <c r="F7" i="98"/>
  <c r="W7" i="98"/>
  <c r="X7" i="98" s="1"/>
  <c r="J7" i="98"/>
  <c r="R7" i="98"/>
  <c r="Z7" i="98"/>
  <c r="AA7" i="98" s="1"/>
  <c r="M7" i="98"/>
  <c r="N7" i="98" s="1"/>
  <c r="P7" i="98"/>
  <c r="S7" i="98" s="1"/>
  <c r="K8" i="98"/>
  <c r="AB8" i="98" s="1"/>
  <c r="U12" i="98"/>
  <c r="Z6" i="97"/>
  <c r="H6" i="97"/>
  <c r="W6" i="97"/>
  <c r="D6" i="97"/>
  <c r="R6" i="97"/>
  <c r="P6" i="97"/>
  <c r="J6" i="97"/>
  <c r="F6" i="97"/>
  <c r="M6" i="97"/>
  <c r="N6" i="97" s="1"/>
  <c r="U6" i="97"/>
  <c r="K5" i="98"/>
  <c r="AB5" i="98" s="1"/>
  <c r="K9" i="96"/>
  <c r="AB9" i="96" s="1"/>
  <c r="K10" i="95"/>
  <c r="E127" i="45"/>
  <c r="M6" i="96"/>
  <c r="N6" i="96" s="1"/>
  <c r="U6" i="96"/>
  <c r="W6" i="96"/>
  <c r="F6" i="96"/>
  <c r="R6" i="96"/>
  <c r="AD23" i="97"/>
  <c r="H51" i="96"/>
  <c r="AD27" i="95"/>
  <c r="AD40" i="96"/>
  <c r="AD38" i="96"/>
  <c r="AD24" i="96"/>
  <c r="Z47" i="96"/>
  <c r="W47" i="96"/>
  <c r="E158" i="101" s="1"/>
  <c r="O158" i="101" s="1"/>
  <c r="AD43" i="96"/>
  <c r="U47" i="96"/>
  <c r="X47" i="96" s="1"/>
  <c r="AD27" i="96"/>
  <c r="AD29" i="96"/>
  <c r="AD42" i="96"/>
  <c r="K26" i="96"/>
  <c r="AD19" i="96"/>
  <c r="AD20" i="96"/>
  <c r="K22" i="96"/>
  <c r="AB22" i="96" s="1"/>
  <c r="K11" i="96"/>
  <c r="AB11" i="96" s="1"/>
  <c r="H7" i="96"/>
  <c r="W7" i="96"/>
  <c r="X7" i="96" s="1"/>
  <c r="J7" i="96"/>
  <c r="M7" i="96"/>
  <c r="N7" i="96" s="1"/>
  <c r="R7" i="96"/>
  <c r="Z7" i="96"/>
  <c r="AA7" i="96" s="1"/>
  <c r="P7" i="96"/>
  <c r="F7" i="96"/>
  <c r="K11" i="95"/>
  <c r="W8" i="95"/>
  <c r="X8" i="95" s="1"/>
  <c r="R8" i="95"/>
  <c r="P8" i="95"/>
  <c r="H8" i="95"/>
  <c r="M8" i="95"/>
  <c r="J8" i="95"/>
  <c r="F8" i="95"/>
  <c r="F8" i="96"/>
  <c r="P8" i="96"/>
  <c r="Z8" i="96"/>
  <c r="AA8" i="96" s="1"/>
  <c r="R8" i="96"/>
  <c r="M8" i="96"/>
  <c r="N8" i="96" s="1"/>
  <c r="W8" i="96"/>
  <c r="X8" i="96" s="1"/>
  <c r="J8" i="96"/>
  <c r="H8" i="96"/>
  <c r="Z8" i="95"/>
  <c r="AA8" i="95" s="1"/>
  <c r="D8" i="95"/>
  <c r="R6" i="95"/>
  <c r="P6" i="95"/>
  <c r="H6" i="95"/>
  <c r="F6" i="95"/>
  <c r="M6" i="95"/>
  <c r="J6" i="95"/>
  <c r="J6" i="96"/>
  <c r="H6" i="96"/>
  <c r="Z6" i="96"/>
  <c r="AA6" i="96" s="1"/>
  <c r="P6" i="96"/>
  <c r="B7" i="95"/>
  <c r="F47" i="96"/>
  <c r="P47" i="96"/>
  <c r="AD20" i="95"/>
  <c r="AD32" i="95"/>
  <c r="H59" i="95"/>
  <c r="K26" i="95"/>
  <c r="AD26" i="95" s="1"/>
  <c r="D47" i="95"/>
  <c r="P47" i="95"/>
  <c r="S47" i="95" s="1"/>
  <c r="J47" i="95"/>
  <c r="R47" i="95"/>
  <c r="K35" i="95"/>
  <c r="AD35" i="95" s="1"/>
  <c r="H47" i="95"/>
  <c r="K39" i="95"/>
  <c r="AD39" i="95" s="1"/>
  <c r="I43" i="33"/>
  <c r="G43" i="33"/>
  <c r="I34" i="33"/>
  <c r="F47" i="95"/>
  <c r="AD16" i="95"/>
  <c r="W47" i="95"/>
  <c r="M47" i="95"/>
  <c r="Z47" i="95"/>
  <c r="K17" i="95"/>
  <c r="AD17" i="95" s="1"/>
  <c r="U47" i="95"/>
  <c r="X6" i="96" l="1"/>
  <c r="S47" i="96"/>
  <c r="D132" i="45"/>
  <c r="AA47" i="96"/>
  <c r="E162" i="101"/>
  <c r="O162" i="101" s="1"/>
  <c r="AB47" i="96"/>
  <c r="X6" i="98"/>
  <c r="S6" i="98"/>
  <c r="K6" i="98"/>
  <c r="AB6" i="98" s="1"/>
  <c r="S7" i="97"/>
  <c r="P12" i="97"/>
  <c r="S6" i="97"/>
  <c r="S8" i="97"/>
  <c r="W12" i="97"/>
  <c r="H12" i="97"/>
  <c r="Z12" i="97"/>
  <c r="K8" i="97"/>
  <c r="K7" i="97"/>
  <c r="J12" i="97"/>
  <c r="F89" i="101"/>
  <c r="F120" i="101" s="1"/>
  <c r="R12" i="97"/>
  <c r="H5" i="96"/>
  <c r="H12" i="96" s="1"/>
  <c r="K47" i="96"/>
  <c r="S8" i="96"/>
  <c r="P5" i="96"/>
  <c r="U5" i="96"/>
  <c r="F5" i="96"/>
  <c r="S6" i="96"/>
  <c r="S7" i="96"/>
  <c r="M5" i="96"/>
  <c r="N5" i="96" s="1"/>
  <c r="W5" i="96"/>
  <c r="J5" i="96"/>
  <c r="B12" i="96"/>
  <c r="B62" i="96" s="1"/>
  <c r="Z5" i="96"/>
  <c r="AD22" i="96"/>
  <c r="F33" i="78"/>
  <c r="F14" i="78"/>
  <c r="D119" i="45"/>
  <c r="D127" i="45"/>
  <c r="R5" i="96"/>
  <c r="R12" i="96" s="1"/>
  <c r="C127" i="45"/>
  <c r="X47" i="95"/>
  <c r="S8" i="95"/>
  <c r="C132" i="45"/>
  <c r="AA47" i="95"/>
  <c r="S6" i="95"/>
  <c r="M12" i="98"/>
  <c r="N12" i="98" s="1"/>
  <c r="Z12" i="98"/>
  <c r="AA12" i="98" s="1"/>
  <c r="H12" i="98"/>
  <c r="J12" i="98"/>
  <c r="K7" i="98"/>
  <c r="K12" i="98" s="1"/>
  <c r="E131" i="45"/>
  <c r="E133" i="45" s="1"/>
  <c r="F128" i="85"/>
  <c r="D12" i="98"/>
  <c r="W12" i="98"/>
  <c r="F126" i="45" s="1"/>
  <c r="F129" i="45" s="1"/>
  <c r="M12" i="97"/>
  <c r="N12" i="97" s="1"/>
  <c r="R12" i="98"/>
  <c r="U12" i="97"/>
  <c r="F12" i="98"/>
  <c r="F12" i="97"/>
  <c r="K6" i="97"/>
  <c r="D12" i="97"/>
  <c r="F48" i="101" s="1"/>
  <c r="F84" i="101" s="1"/>
  <c r="P12" i="98"/>
  <c r="K7" i="96"/>
  <c r="K6" i="96"/>
  <c r="U12" i="96"/>
  <c r="AD50" i="97"/>
  <c r="AD23" i="96"/>
  <c r="AD26" i="96"/>
  <c r="F12" i="96"/>
  <c r="K6" i="95"/>
  <c r="K8" i="96"/>
  <c r="AB8" i="96" s="1"/>
  <c r="K8" i="95"/>
  <c r="D12" i="96"/>
  <c r="J7" i="95"/>
  <c r="P7" i="95"/>
  <c r="H7" i="95"/>
  <c r="R7" i="95"/>
  <c r="M7" i="95"/>
  <c r="F7" i="95"/>
  <c r="D7" i="95"/>
  <c r="Z7" i="95"/>
  <c r="AA7" i="95" s="1"/>
  <c r="K47" i="95"/>
  <c r="I44" i="33"/>
  <c r="I49" i="33" s="1"/>
  <c r="F169" i="101" l="1"/>
  <c r="Z12" i="96"/>
  <c r="AA12" i="96" s="1"/>
  <c r="AA5" i="96"/>
  <c r="K5" i="96"/>
  <c r="E163" i="101"/>
  <c r="AB7" i="96"/>
  <c r="E48" i="101"/>
  <c r="E84" i="101" s="1"/>
  <c r="X5" i="96"/>
  <c r="AB6" i="96"/>
  <c r="F170" i="101"/>
  <c r="X12" i="98"/>
  <c r="AB7" i="98"/>
  <c r="G89" i="101"/>
  <c r="G120" i="101" s="1"/>
  <c r="S12" i="98"/>
  <c r="AB12" i="98" s="1"/>
  <c r="F131" i="45"/>
  <c r="F133" i="45" s="1"/>
  <c r="G128" i="85"/>
  <c r="B67" i="98"/>
  <c r="F118" i="45"/>
  <c r="F121" i="45" s="1"/>
  <c r="G48" i="101"/>
  <c r="G84" i="101" s="1"/>
  <c r="G44" i="85"/>
  <c r="F44" i="45"/>
  <c r="F79" i="45" s="1"/>
  <c r="S12" i="97"/>
  <c r="S5" i="96"/>
  <c r="M12" i="96"/>
  <c r="N12" i="96" s="1"/>
  <c r="E149" i="101" s="1"/>
  <c r="E151" i="101" s="1"/>
  <c r="J12" i="96"/>
  <c r="P12" i="96"/>
  <c r="S12" i="96" s="1"/>
  <c r="W12" i="96"/>
  <c r="D126" i="45" s="1"/>
  <c r="D129" i="45" s="1"/>
  <c r="E89" i="101"/>
  <c r="E120" i="101" s="1"/>
  <c r="S7" i="95"/>
  <c r="C119" i="45"/>
  <c r="E14" i="78"/>
  <c r="E33" i="78"/>
  <c r="B69" i="98"/>
  <c r="B66" i="98"/>
  <c r="E44" i="45"/>
  <c r="E79" i="45" s="1"/>
  <c r="B66" i="97"/>
  <c r="F44" i="85"/>
  <c r="F79" i="85" s="1"/>
  <c r="G81" i="85"/>
  <c r="G110" i="85" s="1"/>
  <c r="G118" i="85" s="1"/>
  <c r="G120" i="85" s="1"/>
  <c r="K12" i="97"/>
  <c r="E126" i="45"/>
  <c r="E129" i="45" s="1"/>
  <c r="F124" i="85"/>
  <c r="B69" i="97"/>
  <c r="K7" i="95"/>
  <c r="B64" i="96"/>
  <c r="D44" i="45"/>
  <c r="D79" i="45" s="1"/>
  <c r="E44" i="85"/>
  <c r="E79" i="85" s="1"/>
  <c r="E124" i="85"/>
  <c r="B67" i="96"/>
  <c r="D131" i="45"/>
  <c r="D133" i="45" s="1"/>
  <c r="E128" i="85"/>
  <c r="AD47" i="96"/>
  <c r="K12" i="96"/>
  <c r="E131" i="101" s="1"/>
  <c r="E134" i="101" s="1"/>
  <c r="AD47" i="95"/>
  <c r="G169" i="101" l="1"/>
  <c r="G170" i="101" s="1"/>
  <c r="E136" i="101"/>
  <c r="O131" i="101"/>
  <c r="O134" i="101" s="1"/>
  <c r="X12" i="96"/>
  <c r="E156" i="101" s="1"/>
  <c r="E159" i="101" s="1"/>
  <c r="AB5" i="96"/>
  <c r="O149" i="101"/>
  <c r="O151" i="101" s="1"/>
  <c r="B68" i="98"/>
  <c r="B70" i="98" s="1"/>
  <c r="B71" i="98" s="1"/>
  <c r="F81" i="45"/>
  <c r="F116" i="45" s="1"/>
  <c r="F81" i="85"/>
  <c r="F110" i="85" s="1"/>
  <c r="F118" i="85" s="1"/>
  <c r="B67" i="97"/>
  <c r="E118" i="45"/>
  <c r="E121" i="45" s="1"/>
  <c r="E81" i="45"/>
  <c r="E116" i="45" s="1"/>
  <c r="B68" i="97"/>
  <c r="B70" i="97" s="1"/>
  <c r="B71" i="97" s="1"/>
  <c r="F34" i="78"/>
  <c r="D118" i="45"/>
  <c r="D121" i="45" s="1"/>
  <c r="B66" i="96"/>
  <c r="E81" i="85"/>
  <c r="D81" i="45"/>
  <c r="D116" i="45" s="1"/>
  <c r="B65" i="96"/>
  <c r="E169" i="101" l="1"/>
  <c r="E170" i="101" s="1"/>
  <c r="Q151" i="101"/>
  <c r="O136" i="101"/>
  <c r="Q134" i="101"/>
  <c r="AB12" i="96"/>
  <c r="E110" i="85"/>
  <c r="E118" i="85" s="1"/>
  <c r="B68" i="96"/>
  <c r="B69" i="96" s="1"/>
  <c r="E41" i="3"/>
  <c r="E35" i="3"/>
  <c r="E26" i="3"/>
  <c r="E24" i="3"/>
  <c r="E22" i="3"/>
  <c r="E18" i="3"/>
  <c r="E10" i="3"/>
  <c r="E33" i="3" l="1"/>
  <c r="M33" i="85"/>
  <c r="N134" i="85"/>
  <c r="M79" i="85"/>
  <c r="M39" i="85"/>
  <c r="N39" i="85"/>
  <c r="N33" i="85"/>
  <c r="M30" i="85"/>
  <c r="N30" i="85"/>
  <c r="N11" i="85"/>
  <c r="L138" i="45"/>
  <c r="M138" i="45"/>
  <c r="M133" i="45"/>
  <c r="M129" i="45"/>
  <c r="M121" i="45"/>
  <c r="M116" i="45"/>
  <c r="M79" i="45"/>
  <c r="L39" i="45"/>
  <c r="M39" i="45"/>
  <c r="L33" i="45"/>
  <c r="M33" i="45"/>
  <c r="L30" i="45"/>
  <c r="M30" i="45"/>
  <c r="N136" i="45"/>
  <c r="N36" i="45"/>
  <c r="N37" i="45"/>
  <c r="N38" i="45"/>
  <c r="N35" i="45"/>
  <c r="N32" i="45"/>
  <c r="N13" i="45"/>
  <c r="N10" i="45"/>
  <c r="N9" i="45"/>
  <c r="L11" i="45"/>
  <c r="M11" i="45"/>
  <c r="N39" i="45" l="1"/>
  <c r="M11" i="85"/>
  <c r="M40" i="85" s="1"/>
  <c r="N40" i="85"/>
  <c r="M139" i="45"/>
  <c r="M40" i="45"/>
  <c r="M134" i="85"/>
  <c r="L40" i="45"/>
  <c r="L134" i="85"/>
  <c r="K79" i="85"/>
  <c r="J79" i="85"/>
  <c r="I79" i="85"/>
  <c r="O35" i="85"/>
  <c r="L33" i="85"/>
  <c r="L30" i="85"/>
  <c r="K138" i="45"/>
  <c r="O39" i="85" l="1"/>
  <c r="P36" i="85" s="1"/>
  <c r="M140" i="45"/>
  <c r="L11" i="85"/>
  <c r="L39" i="85"/>
  <c r="P37" i="85" l="1"/>
  <c r="P38" i="85"/>
  <c r="P35" i="85"/>
  <c r="L40" i="85"/>
  <c r="N129" i="85" l="1"/>
  <c r="N79" i="85" l="1"/>
  <c r="N126" i="85"/>
  <c r="N135" i="85" l="1"/>
  <c r="N136" i="85" s="1"/>
  <c r="K129" i="45"/>
  <c r="L126" i="85"/>
  <c r="K133" i="45"/>
  <c r="L129" i="85"/>
  <c r="K30" i="45"/>
  <c r="K33" i="45"/>
  <c r="K39" i="45"/>
  <c r="K11" i="45"/>
  <c r="K134" i="85"/>
  <c r="K33" i="85"/>
  <c r="K39" i="85"/>
  <c r="K30" i="85"/>
  <c r="J30" i="45"/>
  <c r="J138" i="45"/>
  <c r="J39" i="45"/>
  <c r="J33" i="45"/>
  <c r="J11" i="45"/>
  <c r="L133" i="45" l="1"/>
  <c r="M129" i="85"/>
  <c r="M126" i="85"/>
  <c r="L129" i="45"/>
  <c r="L79" i="45"/>
  <c r="L116" i="45"/>
  <c r="K116" i="45"/>
  <c r="L79" i="85"/>
  <c r="K79" i="45"/>
  <c r="K121" i="45"/>
  <c r="Q25" i="45"/>
  <c r="K40" i="45"/>
  <c r="K11" i="85"/>
  <c r="K40" i="85" s="1"/>
  <c r="J40" i="45"/>
  <c r="M135" i="85" l="1"/>
  <c r="M136" i="85" s="1"/>
  <c r="L121" i="45"/>
  <c r="L139" i="45" s="1"/>
  <c r="L140" i="45" s="1"/>
  <c r="L135" i="85"/>
  <c r="L136" i="85" s="1"/>
  <c r="K139" i="45"/>
  <c r="K140" i="45" s="1"/>
  <c r="J134" i="85" l="1"/>
  <c r="J33" i="85"/>
  <c r="J39" i="85"/>
  <c r="J30" i="85"/>
  <c r="I33" i="45"/>
  <c r="J79" i="45" l="1"/>
  <c r="J11" i="85"/>
  <c r="J40" i="85" s="1"/>
  <c r="K126" i="85" l="1"/>
  <c r="J133" i="45"/>
  <c r="K129" i="85"/>
  <c r="J129" i="45"/>
  <c r="J116" i="45"/>
  <c r="I138" i="45"/>
  <c r="I39" i="45"/>
  <c r="I30" i="45"/>
  <c r="I11" i="45"/>
  <c r="I33" i="85"/>
  <c r="G30" i="85"/>
  <c r="H30" i="85"/>
  <c r="I30" i="85"/>
  <c r="H33" i="85"/>
  <c r="C33" i="85"/>
  <c r="D33" i="85"/>
  <c r="E33" i="85"/>
  <c r="F33" i="85"/>
  <c r="C39" i="85"/>
  <c r="D39" i="85"/>
  <c r="E39" i="85"/>
  <c r="F39" i="85"/>
  <c r="G39" i="85"/>
  <c r="H39" i="85"/>
  <c r="I39" i="85"/>
  <c r="O32" i="85" l="1"/>
  <c r="O33" i="85" s="1"/>
  <c r="K135" i="85"/>
  <c r="K136" i="85" s="1"/>
  <c r="J121" i="45"/>
  <c r="J139" i="45" s="1"/>
  <c r="J140" i="45" s="1"/>
  <c r="G33" i="85"/>
  <c r="I40" i="45"/>
  <c r="H39" i="45"/>
  <c r="H33" i="45"/>
  <c r="H30" i="45"/>
  <c r="H11" i="45"/>
  <c r="I134" i="85"/>
  <c r="I11" i="85"/>
  <c r="H138" i="45"/>
  <c r="H134" i="85"/>
  <c r="G39" i="45"/>
  <c r="G33" i="45"/>
  <c r="G30" i="45"/>
  <c r="G11" i="45"/>
  <c r="I40" i="85" l="1"/>
  <c r="H40" i="45"/>
  <c r="H11" i="85"/>
  <c r="H40" i="85" s="1"/>
  <c r="G40" i="45"/>
  <c r="O132" i="85" l="1"/>
  <c r="O9" i="85"/>
  <c r="F39" i="45" l="1"/>
  <c r="F33" i="45"/>
  <c r="F30" i="45"/>
  <c r="F11" i="45"/>
  <c r="G134" i="85"/>
  <c r="G11" i="85"/>
  <c r="G40" i="85" s="1"/>
  <c r="F40" i="45" l="1"/>
  <c r="J126" i="85"/>
  <c r="Y7" i="81"/>
  <c r="Y6" i="81"/>
  <c r="Y5" i="81"/>
  <c r="V10" i="81"/>
  <c r="V8" i="81"/>
  <c r="V7" i="81"/>
  <c r="V6" i="81"/>
  <c r="V5" i="81"/>
  <c r="T10" i="81"/>
  <c r="T8" i="81"/>
  <c r="T7" i="81"/>
  <c r="T6" i="81"/>
  <c r="T5" i="81"/>
  <c r="Q10" i="81"/>
  <c r="Q8" i="81"/>
  <c r="Q7" i="81"/>
  <c r="Q6" i="81"/>
  <c r="Q5" i="81"/>
  <c r="O7" i="81"/>
  <c r="O6" i="81"/>
  <c r="O5" i="81"/>
  <c r="L10" i="81"/>
  <c r="L8" i="81"/>
  <c r="L7" i="81"/>
  <c r="L6" i="81"/>
  <c r="L5" i="81"/>
  <c r="I10" i="81"/>
  <c r="I8" i="81"/>
  <c r="I7" i="81"/>
  <c r="I6" i="81"/>
  <c r="I5" i="81"/>
  <c r="G10" i="81"/>
  <c r="G8" i="81"/>
  <c r="G7" i="81"/>
  <c r="G6" i="81"/>
  <c r="G5" i="81"/>
  <c r="E10" i="81"/>
  <c r="E8" i="81"/>
  <c r="E7" i="81"/>
  <c r="E6" i="81"/>
  <c r="E5" i="81"/>
  <c r="I133" i="45" l="1"/>
  <c r="J129" i="85"/>
  <c r="I79" i="45"/>
  <c r="I129" i="85"/>
  <c r="H133" i="45"/>
  <c r="J135" i="85" l="1"/>
  <c r="J136" i="85" s="1"/>
  <c r="H129" i="85"/>
  <c r="H116" i="45"/>
  <c r="H79" i="45"/>
  <c r="H121" i="45"/>
  <c r="H129" i="45"/>
  <c r="I126" i="85"/>
  <c r="H79" i="85"/>
  <c r="F134" i="85"/>
  <c r="E134" i="85"/>
  <c r="D134" i="85"/>
  <c r="C134" i="85"/>
  <c r="O134" i="85"/>
  <c r="F30" i="85"/>
  <c r="O13" i="85"/>
  <c r="F11" i="85"/>
  <c r="E11" i="85"/>
  <c r="E40" i="85" s="1"/>
  <c r="D11" i="85"/>
  <c r="C11" i="85"/>
  <c r="O30" i="85" l="1"/>
  <c r="I135" i="85"/>
  <c r="I136" i="85" s="1"/>
  <c r="H126" i="85"/>
  <c r="H135" i="85" s="1"/>
  <c r="H136" i="85" s="1"/>
  <c r="I121" i="45"/>
  <c r="I129" i="45"/>
  <c r="I116" i="45"/>
  <c r="H139" i="45"/>
  <c r="H140" i="45" s="1"/>
  <c r="F40" i="85"/>
  <c r="C40" i="85"/>
  <c r="D40" i="85"/>
  <c r="G139" i="45"/>
  <c r="G140" i="45" s="1"/>
  <c r="G129" i="85"/>
  <c r="H35" i="78"/>
  <c r="O11" i="85"/>
  <c r="L4" i="71"/>
  <c r="L5" i="71"/>
  <c r="L6" i="71"/>
  <c r="L7" i="71"/>
  <c r="L8" i="71"/>
  <c r="L9" i="71"/>
  <c r="L3" i="71"/>
  <c r="I35" i="78"/>
  <c r="J35" i="78"/>
  <c r="K35" i="78"/>
  <c r="L35" i="78"/>
  <c r="M35" i="78"/>
  <c r="M44" i="78" s="1"/>
  <c r="N35" i="78"/>
  <c r="N44" i="78" s="1"/>
  <c r="O35" i="78"/>
  <c r="O44" i="78" s="1"/>
  <c r="H16" i="78"/>
  <c r="I16" i="78"/>
  <c r="J16" i="78"/>
  <c r="K16" i="78"/>
  <c r="L16" i="78"/>
  <c r="M16" i="78"/>
  <c r="N16" i="78"/>
  <c r="O16" i="78"/>
  <c r="P21" i="85" l="1"/>
  <c r="P27" i="85"/>
  <c r="P15" i="85"/>
  <c r="P14" i="85"/>
  <c r="P24" i="85"/>
  <c r="P19" i="85"/>
  <c r="P28" i="85"/>
  <c r="P22" i="85"/>
  <c r="P29" i="85"/>
  <c r="P25" i="85"/>
  <c r="P23" i="85"/>
  <c r="P20" i="85"/>
  <c r="P18" i="85"/>
  <c r="P26" i="85"/>
  <c r="P13" i="85"/>
  <c r="I139" i="45"/>
  <c r="I140" i="45" s="1"/>
  <c r="O40" i="85"/>
  <c r="G126" i="85"/>
  <c r="G79" i="85"/>
  <c r="F123" i="45"/>
  <c r="E33" i="45"/>
  <c r="E39" i="45"/>
  <c r="D39" i="45"/>
  <c r="C39" i="45"/>
  <c r="E11" i="45"/>
  <c r="N33" i="45"/>
  <c r="C33" i="45"/>
  <c r="D33" i="45"/>
  <c r="D11" i="45"/>
  <c r="C11" i="45"/>
  <c r="AC11" i="81"/>
  <c r="AC16" i="81"/>
  <c r="AC17" i="81"/>
  <c r="AC18" i="81"/>
  <c r="AC19" i="81"/>
  <c r="AC20" i="81"/>
  <c r="AC21" i="81"/>
  <c r="AC22" i="81"/>
  <c r="AC23" i="81"/>
  <c r="AC24" i="81"/>
  <c r="AC26" i="81"/>
  <c r="AC27" i="81"/>
  <c r="AC28" i="81"/>
  <c r="AC29" i="81"/>
  <c r="AC30" i="81"/>
  <c r="AC31" i="81"/>
  <c r="AC32" i="81"/>
  <c r="AC33" i="81"/>
  <c r="AC34" i="81"/>
  <c r="AC35" i="81"/>
  <c r="AC37" i="81"/>
  <c r="AC38" i="81"/>
  <c r="AC39" i="81"/>
  <c r="AC40" i="81"/>
  <c r="AC42" i="81"/>
  <c r="AC43" i="81"/>
  <c r="AC44" i="81"/>
  <c r="W16" i="81"/>
  <c r="U17" i="81"/>
  <c r="X17" i="81" s="1"/>
  <c r="R17" i="81"/>
  <c r="P17" i="81"/>
  <c r="M17" i="81"/>
  <c r="J17" i="81"/>
  <c r="H17" i="81"/>
  <c r="F17" i="81"/>
  <c r="D17" i="81"/>
  <c r="D38" i="81"/>
  <c r="D39" i="81"/>
  <c r="D40" i="81"/>
  <c r="D42" i="81"/>
  <c r="D43" i="81"/>
  <c r="Z42" i="81"/>
  <c r="W42" i="81"/>
  <c r="U42" i="81"/>
  <c r="X42" i="81" s="1"/>
  <c r="R42" i="81"/>
  <c r="P42" i="81"/>
  <c r="S42" i="81" s="1"/>
  <c r="M42" i="81"/>
  <c r="J42" i="81"/>
  <c r="H42" i="81"/>
  <c r="F42" i="81"/>
  <c r="Z22" i="81"/>
  <c r="Z21" i="81"/>
  <c r="W22" i="81"/>
  <c r="W21" i="81"/>
  <c r="U22" i="81"/>
  <c r="U21" i="81"/>
  <c r="X21" i="81" s="1"/>
  <c r="R22" i="81"/>
  <c r="R21" i="81"/>
  <c r="P22" i="81"/>
  <c r="P21" i="81"/>
  <c r="M22" i="81"/>
  <c r="M21" i="81"/>
  <c r="J22" i="81"/>
  <c r="J21" i="81"/>
  <c r="H22" i="81"/>
  <c r="H21" i="81"/>
  <c r="F22" i="81"/>
  <c r="F21" i="81"/>
  <c r="D22" i="81"/>
  <c r="D21" i="81"/>
  <c r="B39" i="45"/>
  <c r="B33" i="45"/>
  <c r="B11" i="45"/>
  <c r="Z40" i="81"/>
  <c r="W40" i="81"/>
  <c r="U40" i="81"/>
  <c r="X40" i="81" s="1"/>
  <c r="R40" i="81"/>
  <c r="P40" i="81"/>
  <c r="M40" i="81"/>
  <c r="J40" i="81"/>
  <c r="H40" i="81"/>
  <c r="F40" i="81"/>
  <c r="G55" i="81"/>
  <c r="H55" i="81"/>
  <c r="B56" i="81"/>
  <c r="F53" i="81"/>
  <c r="D25" i="78" s="1"/>
  <c r="F54" i="81"/>
  <c r="H50" i="81"/>
  <c r="H52" i="81"/>
  <c r="G56" i="81"/>
  <c r="G49" i="81"/>
  <c r="G50" i="81"/>
  <c r="G51" i="81"/>
  <c r="G52" i="81"/>
  <c r="G53" i="81"/>
  <c r="G54" i="81"/>
  <c r="G48" i="81"/>
  <c r="F48" i="81"/>
  <c r="C10" i="81"/>
  <c r="C8" i="81"/>
  <c r="D8" i="81" s="1"/>
  <c r="C7" i="81"/>
  <c r="C6" i="81"/>
  <c r="C5" i="81"/>
  <c r="Z43" i="81"/>
  <c r="W43" i="81"/>
  <c r="U43" i="81"/>
  <c r="X43" i="81" s="1"/>
  <c r="R43" i="81"/>
  <c r="P43" i="81"/>
  <c r="S43" i="81" s="1"/>
  <c r="M43" i="81"/>
  <c r="J43" i="81"/>
  <c r="H43" i="81"/>
  <c r="F43" i="81"/>
  <c r="Z38" i="81"/>
  <c r="W38" i="81"/>
  <c r="U38" i="81"/>
  <c r="X38" i="81" s="1"/>
  <c r="R38" i="81"/>
  <c r="P38" i="81"/>
  <c r="S38" i="81" s="1"/>
  <c r="M38" i="81"/>
  <c r="J38" i="81"/>
  <c r="H38" i="81"/>
  <c r="F38" i="81"/>
  <c r="Z37" i="81"/>
  <c r="W37" i="81"/>
  <c r="U37" i="81"/>
  <c r="X37" i="81" s="1"/>
  <c r="R37" i="81"/>
  <c r="P37" i="81"/>
  <c r="M37" i="81"/>
  <c r="J37" i="81"/>
  <c r="H37" i="81"/>
  <c r="F37" i="81"/>
  <c r="AC15" i="81"/>
  <c r="Z17" i="81"/>
  <c r="Z18" i="81"/>
  <c r="Z19" i="81"/>
  <c r="Z20" i="81"/>
  <c r="Z23" i="81"/>
  <c r="Z24" i="81"/>
  <c r="Z26" i="81"/>
  <c r="Z27" i="81"/>
  <c r="Z28" i="81"/>
  <c r="Z29" i="81"/>
  <c r="Z30" i="81"/>
  <c r="Z31" i="81"/>
  <c r="Z32" i="81"/>
  <c r="Z33" i="81"/>
  <c r="Z34" i="81"/>
  <c r="Z35" i="81"/>
  <c r="Z39" i="81"/>
  <c r="Z15" i="81"/>
  <c r="W17" i="81"/>
  <c r="W18" i="81"/>
  <c r="W19" i="81"/>
  <c r="W20" i="81"/>
  <c r="W23" i="81"/>
  <c r="W24" i="81"/>
  <c r="W26" i="81"/>
  <c r="W27" i="81"/>
  <c r="W28" i="81"/>
  <c r="W29" i="81"/>
  <c r="W30" i="81"/>
  <c r="W31" i="81"/>
  <c r="W32" i="81"/>
  <c r="W33" i="81"/>
  <c r="W34" i="81"/>
  <c r="W35" i="81"/>
  <c r="W39" i="81"/>
  <c r="U18" i="81"/>
  <c r="X18" i="81" s="1"/>
  <c r="U19" i="81"/>
  <c r="U20" i="81"/>
  <c r="X20" i="81" s="1"/>
  <c r="U23" i="81"/>
  <c r="X23" i="81" s="1"/>
  <c r="U24" i="81"/>
  <c r="X24" i="81" s="1"/>
  <c r="U26" i="81"/>
  <c r="X26" i="81" s="1"/>
  <c r="U27" i="81"/>
  <c r="X27" i="81" s="1"/>
  <c r="U28" i="81"/>
  <c r="U29" i="81"/>
  <c r="U30" i="81"/>
  <c r="U31" i="81"/>
  <c r="U32" i="81"/>
  <c r="X32" i="81" s="1"/>
  <c r="U33" i="81"/>
  <c r="X33" i="81" s="1"/>
  <c r="U34" i="81"/>
  <c r="U35" i="81"/>
  <c r="X35" i="81" s="1"/>
  <c r="U39" i="81"/>
  <c r="X39" i="81" s="1"/>
  <c r="R18" i="81"/>
  <c r="R19" i="81"/>
  <c r="R20" i="81"/>
  <c r="R23" i="81"/>
  <c r="R24" i="81"/>
  <c r="R26" i="81"/>
  <c r="R27" i="81"/>
  <c r="R28" i="81"/>
  <c r="R29" i="81"/>
  <c r="R30" i="81"/>
  <c r="R31" i="81"/>
  <c r="R32" i="81"/>
  <c r="R33" i="81"/>
  <c r="R34" i="81"/>
  <c r="R35" i="81"/>
  <c r="R39" i="81"/>
  <c r="P18" i="81"/>
  <c r="P19" i="81"/>
  <c r="P20" i="81"/>
  <c r="P23" i="81"/>
  <c r="S23" i="81" s="1"/>
  <c r="P24" i="81"/>
  <c r="S24" i="81" s="1"/>
  <c r="P26" i="81"/>
  <c r="P27" i="81"/>
  <c r="S27" i="81" s="1"/>
  <c r="P28" i="81"/>
  <c r="S28" i="81" s="1"/>
  <c r="P29" i="81"/>
  <c r="S29" i="81" s="1"/>
  <c r="P30" i="81"/>
  <c r="S30" i="81" s="1"/>
  <c r="P31" i="81"/>
  <c r="S31" i="81" s="1"/>
  <c r="P32" i="81"/>
  <c r="P33" i="81"/>
  <c r="P34" i="81"/>
  <c r="P35" i="81"/>
  <c r="P39" i="81"/>
  <c r="S39" i="81" s="1"/>
  <c r="M18" i="81"/>
  <c r="M19" i="81"/>
  <c r="M20" i="81"/>
  <c r="M23" i="81"/>
  <c r="M24" i="81"/>
  <c r="M26" i="81"/>
  <c r="M27" i="81"/>
  <c r="M28" i="81"/>
  <c r="M29" i="81"/>
  <c r="M30" i="81"/>
  <c r="M31" i="81"/>
  <c r="M32" i="81"/>
  <c r="M33" i="81"/>
  <c r="M34" i="81"/>
  <c r="M35" i="81"/>
  <c r="M39" i="81"/>
  <c r="J18" i="81"/>
  <c r="J19" i="81"/>
  <c r="J20" i="81"/>
  <c r="J23" i="81"/>
  <c r="J24" i="81"/>
  <c r="J26" i="81"/>
  <c r="J27" i="81"/>
  <c r="J28" i="81"/>
  <c r="J29" i="81"/>
  <c r="J30" i="81"/>
  <c r="J31" i="81"/>
  <c r="J32" i="81"/>
  <c r="J33" i="81"/>
  <c r="J34" i="81"/>
  <c r="J35" i="81"/>
  <c r="J39" i="81"/>
  <c r="H18" i="81"/>
  <c r="H19" i="81"/>
  <c r="H20" i="81"/>
  <c r="H23" i="81"/>
  <c r="H24" i="81"/>
  <c r="H26" i="81"/>
  <c r="H27" i="81"/>
  <c r="H28" i="81"/>
  <c r="H29" i="81"/>
  <c r="H30" i="81"/>
  <c r="H31" i="81"/>
  <c r="H32" i="81"/>
  <c r="H33" i="81"/>
  <c r="H34" i="81"/>
  <c r="H35" i="81"/>
  <c r="H39" i="81"/>
  <c r="F18" i="81"/>
  <c r="F19" i="81"/>
  <c r="F20" i="81"/>
  <c r="F23" i="81"/>
  <c r="F24" i="81"/>
  <c r="F26" i="81"/>
  <c r="F27" i="81"/>
  <c r="F28" i="81"/>
  <c r="F29" i="81"/>
  <c r="F30" i="81"/>
  <c r="F31" i="81"/>
  <c r="F32" i="81"/>
  <c r="F33" i="81"/>
  <c r="F34" i="81"/>
  <c r="F35" i="81"/>
  <c r="F39" i="81"/>
  <c r="D18" i="81"/>
  <c r="D19" i="81"/>
  <c r="D20" i="81"/>
  <c r="D23" i="81"/>
  <c r="D24" i="81"/>
  <c r="D26" i="81"/>
  <c r="D27" i="81"/>
  <c r="D28" i="81"/>
  <c r="D29" i="81"/>
  <c r="D30" i="81"/>
  <c r="D31" i="81"/>
  <c r="D32" i="81"/>
  <c r="D33" i="81"/>
  <c r="D34" i="81"/>
  <c r="D35" i="81"/>
  <c r="D37" i="81"/>
  <c r="S32" i="81" l="1"/>
  <c r="X28" i="81"/>
  <c r="S37" i="81"/>
  <c r="S40" i="81"/>
  <c r="S26" i="81"/>
  <c r="X34" i="81"/>
  <c r="X19" i="81"/>
  <c r="S21" i="81"/>
  <c r="S22" i="81"/>
  <c r="S35" i="81"/>
  <c r="S20" i="81"/>
  <c r="X31" i="81"/>
  <c r="S19" i="81"/>
  <c r="X30" i="81"/>
  <c r="S34" i="81"/>
  <c r="S33" i="81"/>
  <c r="S18" i="81"/>
  <c r="X29" i="81"/>
  <c r="X22" i="81"/>
  <c r="S17" i="81"/>
  <c r="C117" i="85"/>
  <c r="O117" i="85" s="1"/>
  <c r="B120" i="45"/>
  <c r="N120" i="45" s="1"/>
  <c r="C40" i="45"/>
  <c r="F139" i="45"/>
  <c r="F140" i="45" s="1"/>
  <c r="D40" i="45"/>
  <c r="E40" i="45"/>
  <c r="G135" i="85"/>
  <c r="G136" i="85" s="1"/>
  <c r="K32" i="81"/>
  <c r="K31" i="81"/>
  <c r="K39" i="81"/>
  <c r="K29" i="81"/>
  <c r="K26" i="81"/>
  <c r="K43" i="81"/>
  <c r="K27" i="81"/>
  <c r="K40" i="81"/>
  <c r="K42" i="81"/>
  <c r="K34" i="81"/>
  <c r="K33" i="81"/>
  <c r="K18" i="81"/>
  <c r="K30" i="81"/>
  <c r="Z16" i="81"/>
  <c r="P30" i="85"/>
  <c r="F16" i="81"/>
  <c r="U16" i="81"/>
  <c r="X16" i="81" s="1"/>
  <c r="H16" i="81"/>
  <c r="P39" i="85"/>
  <c r="P33" i="85"/>
  <c r="K17" i="81"/>
  <c r="K28" i="81"/>
  <c r="J16" i="81"/>
  <c r="M16" i="81"/>
  <c r="K24" i="81"/>
  <c r="K21" i="81"/>
  <c r="K37" i="81"/>
  <c r="K23" i="81"/>
  <c r="H54" i="81"/>
  <c r="K22" i="81"/>
  <c r="P16" i="81"/>
  <c r="S16" i="81" s="1"/>
  <c r="K35" i="81"/>
  <c r="K38" i="81"/>
  <c r="K20" i="81"/>
  <c r="K19" i="81"/>
  <c r="D16" i="81"/>
  <c r="R16" i="81"/>
  <c r="P11" i="85"/>
  <c r="AC5" i="81"/>
  <c r="AC8" i="81"/>
  <c r="AC6" i="81"/>
  <c r="AC7" i="81"/>
  <c r="AC10" i="81"/>
  <c r="N11" i="45"/>
  <c r="H48" i="81"/>
  <c r="H51" i="81"/>
  <c r="D56" i="81"/>
  <c r="H49" i="81"/>
  <c r="H53" i="81"/>
  <c r="F56" i="81"/>
  <c r="AD43" i="81" l="1"/>
  <c r="AD31" i="81"/>
  <c r="AD42" i="81"/>
  <c r="AD32" i="81"/>
  <c r="AD34" i="81"/>
  <c r="AD39" i="81"/>
  <c r="AD18" i="81"/>
  <c r="AD27" i="81"/>
  <c r="AD17" i="81"/>
  <c r="AD29" i="81"/>
  <c r="AD30" i="81"/>
  <c r="AD26" i="81"/>
  <c r="AD21" i="81"/>
  <c r="AD38" i="81"/>
  <c r="AD24" i="81"/>
  <c r="AD33" i="81"/>
  <c r="AD40" i="81"/>
  <c r="AD19" i="81"/>
  <c r="AD20" i="81"/>
  <c r="Z44" i="81"/>
  <c r="AD35" i="81"/>
  <c r="K16" i="81"/>
  <c r="P40" i="85"/>
  <c r="AD22" i="81"/>
  <c r="AD23" i="81"/>
  <c r="AD37" i="81"/>
  <c r="AD28" i="81"/>
  <c r="H56" i="81"/>
  <c r="B132" i="45" l="1"/>
  <c r="N132" i="45" s="1"/>
  <c r="AD16" i="81"/>
  <c r="W15" i="81" l="1"/>
  <c r="R8" i="81" l="1"/>
  <c r="Z8" i="81"/>
  <c r="AA8" i="81" s="1"/>
  <c r="M15" i="81"/>
  <c r="D15" i="81"/>
  <c r="U15" i="81"/>
  <c r="U8" i="81"/>
  <c r="W8" i="81"/>
  <c r="F8" i="81"/>
  <c r="H8" i="81"/>
  <c r="J8" i="81"/>
  <c r="M8" i="81"/>
  <c r="P8" i="81"/>
  <c r="S8" i="81" s="1"/>
  <c r="H15" i="81"/>
  <c r="R15" i="81"/>
  <c r="B44" i="81"/>
  <c r="F15" i="81"/>
  <c r="J15" i="81"/>
  <c r="P15" i="81"/>
  <c r="S15" i="81" s="1"/>
  <c r="X15" i="81" l="1"/>
  <c r="X44" i="81" s="1"/>
  <c r="X8" i="81"/>
  <c r="K15" i="81"/>
  <c r="AD15" i="81" s="1"/>
  <c r="AB44" i="81"/>
  <c r="K8" i="81"/>
  <c r="U44" i="81"/>
  <c r="J44" i="81"/>
  <c r="W44" i="81"/>
  <c r="P44" i="81"/>
  <c r="D44" i="81"/>
  <c r="H44" i="81"/>
  <c r="R44" i="81"/>
  <c r="M44" i="81"/>
  <c r="F44" i="81"/>
  <c r="B127" i="45" l="1"/>
  <c r="S44" i="81"/>
  <c r="K44" i="81"/>
  <c r="N127" i="45" l="1"/>
  <c r="B119" i="45"/>
  <c r="D33" i="78"/>
  <c r="D14" i="78"/>
  <c r="AD44" i="81"/>
  <c r="N119" i="45" l="1"/>
  <c r="G16" i="78"/>
  <c r="G35" i="78" l="1"/>
  <c r="F129" i="85"/>
  <c r="F126" i="85" l="1"/>
  <c r="F135" i="85" s="1"/>
  <c r="F136" i="85" s="1"/>
  <c r="E16" i="3"/>
  <c r="E139" i="45" l="1"/>
  <c r="E140" i="45" s="1"/>
  <c r="F16" i="78"/>
  <c r="E129" i="85" l="1"/>
  <c r="F35" i="78"/>
  <c r="E126" i="85" l="1"/>
  <c r="E135" i="85" s="1"/>
  <c r="E136" i="85" s="1"/>
  <c r="D139" i="45"/>
  <c r="D140" i="45" s="1"/>
  <c r="P24" i="78"/>
  <c r="P5" i="78"/>
  <c r="B35" i="78"/>
  <c r="C33" i="78"/>
  <c r="C34" i="78"/>
  <c r="C31" i="78"/>
  <c r="C30" i="78"/>
  <c r="C29" i="78"/>
  <c r="C28" i="78"/>
  <c r="C27" i="78"/>
  <c r="C26" i="78"/>
  <c r="C25" i="78"/>
  <c r="C24" i="78"/>
  <c r="B16" i="78"/>
  <c r="C14" i="78"/>
  <c r="C15" i="78"/>
  <c r="C12" i="78"/>
  <c r="C11" i="78"/>
  <c r="C10" i="78"/>
  <c r="C9" i="78"/>
  <c r="C8" i="78"/>
  <c r="C7" i="78"/>
  <c r="C6" i="78"/>
  <c r="C5" i="78"/>
  <c r="Q14" i="78" l="1"/>
  <c r="S14" i="78" s="1"/>
  <c r="R14" i="78"/>
  <c r="Q10" i="78"/>
  <c r="R10" i="78"/>
  <c r="Q12" i="78"/>
  <c r="S12" i="78" s="1"/>
  <c r="R12" i="78"/>
  <c r="Q11" i="78"/>
  <c r="S11" i="78" s="1"/>
  <c r="R11" i="78"/>
  <c r="R6" i="78"/>
  <c r="R5" i="78"/>
  <c r="R24" i="78"/>
  <c r="R31" i="78"/>
  <c r="R30" i="78"/>
  <c r="R29" i="78"/>
  <c r="R8" i="78"/>
  <c r="R28" i="78"/>
  <c r="R27" i="78"/>
  <c r="R9" i="78"/>
  <c r="R26" i="78"/>
  <c r="R7" i="78"/>
  <c r="R25" i="78"/>
  <c r="C16" i="78"/>
  <c r="C17" i="78" s="1"/>
  <c r="C18" i="78" s="1"/>
  <c r="Q8" i="78"/>
  <c r="S8" i="78" s="1"/>
  <c r="Q27" i="78"/>
  <c r="S27" i="78" s="1"/>
  <c r="Q29" i="78"/>
  <c r="S29" i="78" s="1"/>
  <c r="Q31" i="78"/>
  <c r="S31" i="78" s="1"/>
  <c r="Q24" i="78"/>
  <c r="S24" i="78" s="1"/>
  <c r="Q5" i="78"/>
  <c r="S5" i="78" s="1"/>
  <c r="Q9" i="78"/>
  <c r="S9" i="78" s="1"/>
  <c r="Q30" i="78"/>
  <c r="S30" i="78" s="1"/>
  <c r="Q28" i="78"/>
  <c r="S28" i="78" s="1"/>
  <c r="Q26" i="78"/>
  <c r="S26" i="78" s="1"/>
  <c r="C35" i="78"/>
  <c r="C36" i="78" s="1"/>
  <c r="C37" i="78" s="1"/>
  <c r="Q7" i="78"/>
  <c r="S7" i="78" s="1"/>
  <c r="S10" i="78"/>
  <c r="Q6" i="78"/>
  <c r="S6" i="78" s="1"/>
  <c r="Q25" i="78"/>
  <c r="S25" i="78" s="1"/>
  <c r="B17" i="78"/>
  <c r="B18" i="78" s="1"/>
  <c r="B36" i="78"/>
  <c r="B37" i="78" s="1"/>
  <c r="R33" i="78" l="1"/>
  <c r="Q33" i="78" l="1"/>
  <c r="S33" i="78" s="1"/>
  <c r="N30" i="45" l="1"/>
  <c r="B138" i="45" l="1"/>
  <c r="H15" i="33"/>
  <c r="H16" i="33"/>
  <c r="H14" i="33"/>
  <c r="E15" i="33"/>
  <c r="C9" i="33"/>
  <c r="B9" i="33"/>
  <c r="D23" i="33"/>
  <c r="D21" i="33"/>
  <c r="B9" i="81" l="1"/>
  <c r="B10" i="81"/>
  <c r="H17" i="33"/>
  <c r="I5" i="33"/>
  <c r="D17" i="33"/>
  <c r="D9" i="33"/>
  <c r="H9" i="33"/>
  <c r="E17" i="33"/>
  <c r="E9" i="33"/>
  <c r="I16" i="33"/>
  <c r="B30" i="45"/>
  <c r="B40" i="45" s="1"/>
  <c r="N138" i="45"/>
  <c r="I15" i="33"/>
  <c r="B5" i="81" l="1"/>
  <c r="B6" i="81"/>
  <c r="D10" i="81"/>
  <c r="W10" i="81"/>
  <c r="F10" i="81"/>
  <c r="U10" i="81"/>
  <c r="X10" i="81" s="1"/>
  <c r="Z10" i="81"/>
  <c r="AA10" i="81" s="1"/>
  <c r="H10" i="81"/>
  <c r="P10" i="81"/>
  <c r="S10" i="81" s="1"/>
  <c r="R10" i="81"/>
  <c r="M10" i="81"/>
  <c r="J10" i="81"/>
  <c r="U11" i="95"/>
  <c r="D11" i="95"/>
  <c r="W11" i="95"/>
  <c r="Z11" i="95"/>
  <c r="AA11" i="95" s="1"/>
  <c r="D9" i="81"/>
  <c r="R9" i="81"/>
  <c r="W9" i="81"/>
  <c r="P9" i="81"/>
  <c r="S9" i="81" s="1"/>
  <c r="H9" i="81"/>
  <c r="U9" i="81"/>
  <c r="X9" i="81" s="1"/>
  <c r="J9" i="81"/>
  <c r="M9" i="81"/>
  <c r="F9" i="81"/>
  <c r="Z9" i="81"/>
  <c r="AA9" i="81" s="1"/>
  <c r="I9" i="33"/>
  <c r="W10" i="95"/>
  <c r="U10" i="95"/>
  <c r="X10" i="95" s="1"/>
  <c r="D10" i="95"/>
  <c r="Z10" i="95"/>
  <c r="AA10" i="95" s="1"/>
  <c r="I14" i="33"/>
  <c r="I17" i="33" s="1"/>
  <c r="G17" i="33"/>
  <c r="N40" i="45"/>
  <c r="X11" i="95" l="1"/>
  <c r="K9" i="81"/>
  <c r="K10" i="81"/>
  <c r="D6" i="81"/>
  <c r="W6" i="81"/>
  <c r="Z6" i="81"/>
  <c r="AA6" i="81" s="1"/>
  <c r="J6" i="81"/>
  <c r="U6" i="81"/>
  <c r="X6" i="81" s="1"/>
  <c r="F6" i="81"/>
  <c r="M6" i="81"/>
  <c r="H6" i="81"/>
  <c r="P6" i="81"/>
  <c r="R6" i="81"/>
  <c r="U6" i="95"/>
  <c r="W6" i="95"/>
  <c r="Z6" i="95"/>
  <c r="AA6" i="95" s="1"/>
  <c r="B12" i="95"/>
  <c r="B61" i="95" s="1"/>
  <c r="H5" i="95"/>
  <c r="F5" i="95"/>
  <c r="R5" i="95"/>
  <c r="D5" i="95"/>
  <c r="U5" i="95"/>
  <c r="W5" i="95"/>
  <c r="M5" i="95"/>
  <c r="J5" i="95"/>
  <c r="P5" i="95"/>
  <c r="Z5" i="95"/>
  <c r="AA5" i="95" s="1"/>
  <c r="B7" i="81"/>
  <c r="B11" i="81" s="1"/>
  <c r="B58" i="81" s="1"/>
  <c r="Z5" i="81"/>
  <c r="AA5" i="81" s="1"/>
  <c r="F5" i="81"/>
  <c r="M5" i="81"/>
  <c r="R5" i="81"/>
  <c r="J5" i="81"/>
  <c r="U5" i="81"/>
  <c r="W5" i="81"/>
  <c r="D5" i="81"/>
  <c r="P5" i="81"/>
  <c r="H5" i="81"/>
  <c r="I18" i="33"/>
  <c r="I23" i="33" s="1"/>
  <c r="O30" i="45"/>
  <c r="O33" i="45"/>
  <c r="O11" i="45"/>
  <c r="O39" i="45"/>
  <c r="X5" i="95" l="1"/>
  <c r="X6" i="95"/>
  <c r="X5" i="81"/>
  <c r="S5" i="95"/>
  <c r="S5" i="81"/>
  <c r="S6" i="81"/>
  <c r="K6" i="81"/>
  <c r="K5" i="95"/>
  <c r="D7" i="81"/>
  <c r="Z7" i="81"/>
  <c r="H7" i="81"/>
  <c r="H11" i="81" s="1"/>
  <c r="R7" i="81"/>
  <c r="M7" i="81"/>
  <c r="M11" i="81" s="1"/>
  <c r="F7" i="81"/>
  <c r="W7" i="81"/>
  <c r="J7" i="81"/>
  <c r="J11" i="81" s="1"/>
  <c r="P7" i="81"/>
  <c r="D12" i="95"/>
  <c r="D48" i="101" s="1"/>
  <c r="J12" i="95"/>
  <c r="Z12" i="95"/>
  <c r="H12" i="95"/>
  <c r="W7" i="95"/>
  <c r="X7" i="95" s="1"/>
  <c r="P12" i="95"/>
  <c r="M12" i="95"/>
  <c r="K5" i="81"/>
  <c r="U11" i="81"/>
  <c r="U12" i="95"/>
  <c r="O40" i="45"/>
  <c r="D84" i="101" l="1"/>
  <c r="D169" i="101" s="1"/>
  <c r="D170" i="101" s="1"/>
  <c r="AA12" i="95"/>
  <c r="D11" i="81"/>
  <c r="Z11" i="81"/>
  <c r="AA7" i="81"/>
  <c r="W11" i="81"/>
  <c r="X7" i="81"/>
  <c r="X11" i="81"/>
  <c r="P11" i="81"/>
  <c r="S7" i="81"/>
  <c r="D128" i="85"/>
  <c r="D129" i="85" s="1"/>
  <c r="C131" i="45"/>
  <c r="C133" i="45" s="1"/>
  <c r="D44" i="85"/>
  <c r="D79" i="85" s="1"/>
  <c r="C44" i="45"/>
  <c r="C79" i="45" s="1"/>
  <c r="K7" i="81"/>
  <c r="K11" i="81" s="1"/>
  <c r="R11" i="81"/>
  <c r="F11" i="81"/>
  <c r="C128" i="85"/>
  <c r="B131" i="45"/>
  <c r="B63" i="95"/>
  <c r="C124" i="85"/>
  <c r="B126" i="45"/>
  <c r="B63" i="81"/>
  <c r="C44" i="85"/>
  <c r="C79" i="85" s="1"/>
  <c r="B44" i="45"/>
  <c r="B60" i="81"/>
  <c r="R12" i="95"/>
  <c r="S12" i="95" s="1"/>
  <c r="F12" i="95"/>
  <c r="K12" i="95"/>
  <c r="W12" i="95"/>
  <c r="B66" i="95" s="1"/>
  <c r="X12" i="95" l="1"/>
  <c r="C48" i="101"/>
  <c r="O161" i="101"/>
  <c r="O163" i="101" s="1"/>
  <c r="O156" i="101"/>
  <c r="O159" i="101" s="1"/>
  <c r="C89" i="101"/>
  <c r="C120" i="101" s="1"/>
  <c r="S11" i="81"/>
  <c r="B62" i="81" s="1"/>
  <c r="D34" i="78"/>
  <c r="B61" i="81"/>
  <c r="B118" i="45"/>
  <c r="B121" i="45" s="1"/>
  <c r="E16" i="78"/>
  <c r="E34" i="78"/>
  <c r="E35" i="78" s="1"/>
  <c r="C81" i="85"/>
  <c r="C110" i="85" s="1"/>
  <c r="C118" i="85" s="1"/>
  <c r="B81" i="45"/>
  <c r="B116" i="45" s="1"/>
  <c r="D124" i="85"/>
  <c r="D126" i="85" s="1"/>
  <c r="C118" i="45"/>
  <c r="C121" i="45" s="1"/>
  <c r="D81" i="85"/>
  <c r="D110" i="85" s="1"/>
  <c r="D118" i="85" s="1"/>
  <c r="C126" i="45"/>
  <c r="C129" i="45" s="1"/>
  <c r="B65" i="95"/>
  <c r="C81" i="45"/>
  <c r="C116" i="45" s="1"/>
  <c r="B64" i="95"/>
  <c r="B129" i="45"/>
  <c r="C126" i="85"/>
  <c r="B64" i="81"/>
  <c r="B65" i="81" s="1"/>
  <c r="N44" i="45"/>
  <c r="N79" i="45" s="1"/>
  <c r="B79" i="45"/>
  <c r="O44" i="85"/>
  <c r="O79" i="85" s="1"/>
  <c r="N131" i="45"/>
  <c r="B133" i="45"/>
  <c r="O128" i="85"/>
  <c r="O129" i="85" s="1"/>
  <c r="C129" i="85"/>
  <c r="Q159" i="101" l="1"/>
  <c r="Q163" i="101"/>
  <c r="C84" i="101"/>
  <c r="C169" i="101" s="1"/>
  <c r="O48" i="101"/>
  <c r="O84" i="101" s="1"/>
  <c r="O89" i="101"/>
  <c r="O124" i="85"/>
  <c r="O126" i="85" s="1"/>
  <c r="D35" i="78"/>
  <c r="P35" i="78"/>
  <c r="D16" i="78"/>
  <c r="P16" i="78"/>
  <c r="R16" i="78" s="1"/>
  <c r="C139" i="45"/>
  <c r="C140" i="45" s="1"/>
  <c r="D135" i="85"/>
  <c r="D136" i="85" s="1"/>
  <c r="P67" i="85"/>
  <c r="P77" i="85"/>
  <c r="P74" i="85"/>
  <c r="P75" i="85"/>
  <c r="P73" i="85"/>
  <c r="P76" i="85"/>
  <c r="N126" i="45"/>
  <c r="N129" i="45" s="1"/>
  <c r="O81" i="85"/>
  <c r="O110" i="85" s="1"/>
  <c r="B67" i="95"/>
  <c r="B68" i="95" s="1"/>
  <c r="N81" i="45"/>
  <c r="N116" i="45" s="1"/>
  <c r="N118" i="45"/>
  <c r="B139" i="45"/>
  <c r="B140" i="45" s="1"/>
  <c r="N133" i="45"/>
  <c r="P44" i="85"/>
  <c r="P60" i="85"/>
  <c r="P78" i="85"/>
  <c r="P48" i="85"/>
  <c r="P53" i="85"/>
  <c r="P70" i="85"/>
  <c r="P50" i="85"/>
  <c r="P62" i="85"/>
  <c r="P65" i="85"/>
  <c r="P66" i="85"/>
  <c r="P61" i="85"/>
  <c r="P64" i="85"/>
  <c r="P46" i="85"/>
  <c r="P63" i="85"/>
  <c r="P68" i="85"/>
  <c r="P71" i="85"/>
  <c r="P56" i="85"/>
  <c r="P52" i="85"/>
  <c r="P59" i="85"/>
  <c r="P72" i="85"/>
  <c r="P51" i="85"/>
  <c r="P69" i="85"/>
  <c r="P54" i="85"/>
  <c r="P55" i="85"/>
  <c r="P57" i="85"/>
  <c r="P45" i="85"/>
  <c r="C170" i="101" l="1"/>
  <c r="O120" i="101"/>
  <c r="Q15" i="78"/>
  <c r="S15" i="78" s="1"/>
  <c r="R15" i="78"/>
  <c r="R34" i="78"/>
  <c r="Q34" i="78"/>
  <c r="R35" i="78"/>
  <c r="O118" i="85"/>
  <c r="P82" i="85" s="1"/>
  <c r="C135" i="85"/>
  <c r="C136" i="85" s="1"/>
  <c r="N121" i="45"/>
  <c r="N123" i="45" s="1"/>
  <c r="N139" i="45" s="1"/>
  <c r="P113" i="85" l="1"/>
  <c r="P117" i="85"/>
  <c r="P101" i="85"/>
  <c r="P84" i="85"/>
  <c r="P109" i="85"/>
  <c r="P105" i="85"/>
  <c r="P110" i="85"/>
  <c r="O120" i="85"/>
  <c r="O135" i="85" s="1"/>
  <c r="P106" i="85"/>
  <c r="P83" i="85"/>
  <c r="P104" i="85"/>
  <c r="P85" i="85"/>
  <c r="P91" i="85"/>
  <c r="P93" i="85"/>
  <c r="P94" i="85"/>
  <c r="P100" i="85"/>
  <c r="P95" i="85"/>
  <c r="P97" i="85"/>
  <c r="P81" i="85"/>
  <c r="P86" i="85"/>
  <c r="P115" i="85"/>
  <c r="P107" i="85"/>
  <c r="P112" i="85"/>
  <c r="P92" i="85"/>
  <c r="P88" i="85"/>
  <c r="P89" i="85"/>
  <c r="P90" i="85"/>
  <c r="P99" i="85"/>
  <c r="P116" i="85"/>
  <c r="P111" i="85"/>
  <c r="P87" i="85"/>
  <c r="P102" i="85"/>
  <c r="P98" i="85"/>
  <c r="P96" i="85"/>
  <c r="P108" i="85"/>
  <c r="N140" i="45"/>
  <c r="Q16" i="78"/>
  <c r="Q35" i="78"/>
  <c r="S35" i="78" s="1"/>
  <c r="S34" i="78"/>
  <c r="P103" i="85"/>
  <c r="P114" i="85"/>
  <c r="O133" i="45"/>
  <c r="O129" i="45"/>
  <c r="P141" i="101" l="1"/>
  <c r="P146" i="101"/>
  <c r="P123" i="101"/>
  <c r="P124" i="101"/>
  <c r="P125" i="101"/>
  <c r="P89" i="101"/>
  <c r="P50" i="101"/>
  <c r="P62" i="101"/>
  <c r="P74" i="101"/>
  <c r="P51" i="101"/>
  <c r="P63" i="101"/>
  <c r="P75" i="101"/>
  <c r="P72" i="101"/>
  <c r="P52" i="101"/>
  <c r="P64" i="101"/>
  <c r="P76" i="101"/>
  <c r="P82" i="101"/>
  <c r="P53" i="101"/>
  <c r="P65" i="101"/>
  <c r="P77" i="101"/>
  <c r="P54" i="101"/>
  <c r="P66" i="101"/>
  <c r="P78" i="101"/>
  <c r="P55" i="101"/>
  <c r="P67" i="101"/>
  <c r="P79" i="101"/>
  <c r="P56" i="101"/>
  <c r="P68" i="101"/>
  <c r="P80" i="101"/>
  <c r="P58" i="101"/>
  <c r="P70" i="101"/>
  <c r="P60" i="101"/>
  <c r="P49" i="101"/>
  <c r="P61" i="101"/>
  <c r="P73" i="101"/>
  <c r="P57" i="101"/>
  <c r="P81" i="101"/>
  <c r="P71" i="101"/>
  <c r="P83" i="101"/>
  <c r="P59" i="101"/>
  <c r="P69" i="101"/>
  <c r="P161" i="101"/>
  <c r="P128" i="101"/>
  <c r="P131" i="101"/>
  <c r="P156" i="101"/>
  <c r="P167" i="101"/>
  <c r="P158" i="101"/>
  <c r="P48" i="101"/>
  <c r="P149" i="101"/>
  <c r="P133" i="101"/>
  <c r="P162" i="101"/>
  <c r="P157" i="101"/>
  <c r="P118" i="101"/>
  <c r="P90" i="101"/>
  <c r="P115" i="101"/>
  <c r="P99" i="101"/>
  <c r="P132" i="101"/>
  <c r="P107" i="101"/>
  <c r="P91" i="101"/>
  <c r="P96" i="101"/>
  <c r="P108" i="101"/>
  <c r="P105" i="101"/>
  <c r="P113" i="101"/>
  <c r="P95" i="101"/>
  <c r="P102" i="101"/>
  <c r="P114" i="101"/>
  <c r="P117" i="101"/>
  <c r="P97" i="101"/>
  <c r="P116" i="101"/>
  <c r="P166" i="101"/>
  <c r="D47" i="3"/>
  <c r="P92" i="101"/>
  <c r="P93" i="101"/>
  <c r="P104" i="101"/>
  <c r="P103" i="101"/>
  <c r="P119" i="101"/>
  <c r="P150" i="101"/>
  <c r="P101" i="101"/>
  <c r="P94" i="101"/>
  <c r="P98" i="101"/>
  <c r="P112" i="101"/>
  <c r="P100" i="101"/>
  <c r="P106" i="101"/>
  <c r="P109" i="101"/>
  <c r="P110" i="101"/>
  <c r="P136" i="101"/>
  <c r="P129" i="85"/>
  <c r="O136" i="85"/>
  <c r="P134" i="85"/>
  <c r="P126" i="85"/>
  <c r="P79" i="85"/>
  <c r="O138" i="45"/>
  <c r="O79" i="45"/>
  <c r="O116" i="45"/>
  <c r="O121" i="45"/>
  <c r="P163" i="101" l="1"/>
  <c r="P134" i="101"/>
  <c r="P151" i="101"/>
  <c r="P168" i="101"/>
  <c r="P159" i="101"/>
  <c r="E47" i="3"/>
  <c r="P84" i="101"/>
  <c r="P120" i="101"/>
  <c r="O139" i="45"/>
  <c r="P169" i="101" l="1"/>
  <c r="D43" i="3"/>
  <c r="E43" i="3" s="1"/>
  <c r="D49" i="3"/>
  <c r="D51" i="3" s="1"/>
  <c r="E52" i="3" l="1"/>
  <c r="E4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C19" authorId="0" shapeId="0" xr:uid="{3251972D-06D1-4CE3-B331-707F5F17067F}">
      <text>
        <r>
          <rPr>
            <b/>
            <sz val="11"/>
            <color indexed="81"/>
            <rFont val="Tahoma"/>
            <family val="2"/>
          </rPr>
          <t xml:space="preserve">-Saldo por cobrar prestamo Tienda escolar camisetas $2.147.100.
-Anticipo a compra de uniformes contravientos y gorras: 2.898.840
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D36" authorId="0" shapeId="0" xr:uid="{48A38D87-F5D6-469C-8CB6-502A8FAA75D0}">
      <text>
        <r>
          <rPr>
            <sz val="11"/>
            <color indexed="81"/>
            <rFont val="Tahoma"/>
            <family val="2"/>
          </rPr>
          <t xml:space="preserve">Cuenta por pagar a Monica Olarte de Uniformes escolares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D29" authorId="0" shapeId="0" xr:uid="{8C4AD1A7-5F08-4DB7-BC6E-370C5E2DE0AA}">
      <text>
        <r>
          <rPr>
            <sz val="9"/>
            <color indexed="81"/>
            <rFont val="Tahoma"/>
            <family val="2"/>
          </rPr>
          <t xml:space="preserve">Donación Pilar-Conferencia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E29" authorId="0" shapeId="0" xr:uid="{07F15AA3-B31F-468C-9A6F-5537ED3C4FC3}">
      <text>
        <r>
          <rPr>
            <sz val="9"/>
            <color indexed="81"/>
            <rFont val="Tahoma"/>
            <family val="2"/>
          </rPr>
          <t xml:space="preserve">Donación Pilar-Conferencia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19" authorId="0" shapeId="0" xr:uid="{0CB6711C-7D49-417A-8A1F-6FBB24AE451E}">
      <text>
        <r>
          <rPr>
            <sz val="9"/>
            <color indexed="81"/>
            <rFont val="Tahoma"/>
            <family val="2"/>
          </rPr>
          <t xml:space="preserve">Pilar Sierra : Conferencia adolescentes: 1.500.000
Maria Isabel Abad : 400.000
Sofia Montealegre: 650.000
</t>
        </r>
      </text>
    </comment>
    <comment ref="B25" authorId="0" shapeId="0" xr:uid="{27A2DC88-2BA3-477D-A35A-F6BED2BEC3CB}">
      <text>
        <r>
          <rPr>
            <b/>
            <sz val="9"/>
            <color indexed="81"/>
            <rFont val="Tahoma"/>
            <family val="2"/>
          </rPr>
          <t>Honorarios luz marina martinez</t>
        </r>
      </text>
    </comment>
    <comment ref="B26" authorId="0" shapeId="0" xr:uid="{ECBC5922-07ED-4238-A4EA-DDBC0CEE4857}">
      <text>
        <r>
          <rPr>
            <b/>
            <sz val="9"/>
            <color indexed="81"/>
            <rFont val="Tahoma"/>
            <family val="2"/>
          </rPr>
          <t xml:space="preserve">Aliaddos . 216.000
renovacion de dominios : 1.123.119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L29" authorId="0" shapeId="0" xr:uid="{9649EDDB-5413-484C-BE58-ADB67293E3CD}">
      <text>
        <r>
          <rPr>
            <b/>
            <sz val="11"/>
            <color indexed="81"/>
            <rFont val="Tahoma"/>
            <family val="2"/>
          </rPr>
          <t>Janus:</t>
        </r>
        <r>
          <rPr>
            <sz val="11"/>
            <color indexed="81"/>
            <rFont val="Tahoma"/>
            <family val="2"/>
          </rPr>
          <t xml:space="preserve">
En especie : 10.251.000
En efectivo : 530.000</t>
        </r>
      </text>
    </comment>
    <comment ref="E31" authorId="0" shapeId="0" xr:uid="{0E6AF970-46A0-481B-BDCE-C00EF1F9C243}">
      <text>
        <r>
          <rPr>
            <sz val="9"/>
            <color indexed="81"/>
            <rFont val="Tahoma"/>
            <family val="2"/>
          </rPr>
          <t xml:space="preserve">Donación Pilar-Conferencia en especie
</t>
        </r>
      </text>
    </comment>
    <comment ref="I34" authorId="0" shapeId="0" xr:uid="{FED2CF28-7436-498A-91AE-7988E489682E}">
      <text>
        <r>
          <rPr>
            <b/>
            <sz val="11"/>
            <color indexed="81"/>
            <rFont val="Tahoma"/>
            <family val="2"/>
          </rPr>
          <t>Primer pago Fundacion rodrigo arroyave
Grupo Juanitas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L34" authorId="0" shapeId="0" xr:uid="{0B818B02-DF49-48DF-BFB1-6E6A501EAA2B}">
      <text>
        <r>
          <rPr>
            <b/>
            <sz val="11"/>
            <color indexed="81"/>
            <rFont val="Tahoma"/>
            <family val="2"/>
          </rPr>
          <t>Fundacion Rodrigo Arroyave segundo y ultimo pago proyecto Juanitas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K39" authorId="0" shapeId="0" xr:uid="{751DBBCA-4333-4C11-805F-A4036D81A910}">
      <text>
        <r>
          <rPr>
            <sz val="11"/>
            <color indexed="81"/>
            <rFont val="Tahoma"/>
            <family val="2"/>
          </rPr>
          <t xml:space="preserve">Intereses de CDT davivienda : 9.994.804
</t>
        </r>
      </text>
    </comment>
    <comment ref="B120" authorId="0" shapeId="0" xr:uid="{BF236FB4-2EFB-4046-A7D9-6E387CB84B70}">
      <text>
        <r>
          <rPr>
            <b/>
            <sz val="11"/>
            <color indexed="81"/>
            <rFont val="Tahoma"/>
            <family val="2"/>
          </rPr>
          <t xml:space="preserve">costos que aplican de manera trasnversal a todos lo proyectos </t>
        </r>
      </text>
    </comment>
    <comment ref="B122" authorId="0" shapeId="0" xr:uid="{19F2BEBB-B300-4C27-BFCB-11CFB663E519}">
      <text>
        <r>
          <rPr>
            <b/>
            <sz val="11"/>
            <color indexed="81"/>
            <rFont val="Tahoma"/>
            <family val="2"/>
          </rPr>
          <t>Estos proyectos sociales son financiados con los excedentes de las actividades comerciales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J125" authorId="0" shapeId="0" xr:uid="{EF23EA15-2C0B-425C-B8AB-6930B6BC07E2}">
      <text>
        <r>
          <rPr>
            <sz val="11"/>
            <color indexed="81"/>
            <rFont val="Tahoma"/>
            <family val="2"/>
          </rPr>
          <t xml:space="preserve">Donacion Hogar de ancianos Juanitas
</t>
        </r>
      </text>
    </comment>
    <comment ref="L125" authorId="0" shapeId="0" xr:uid="{F91266CE-8D56-4CBF-B104-9D1781AB7DE7}">
      <text>
        <r>
          <rPr>
            <sz val="11"/>
            <color indexed="81"/>
            <rFont val="Tahoma"/>
            <family val="2"/>
          </rPr>
          <t xml:space="preserve">Donacion Alex Pestaña
</t>
        </r>
      </text>
    </comment>
    <comment ref="O127" authorId="0" shapeId="0" xr:uid="{54CB9A8A-7C7A-4353-8695-98F10BC44FA5}">
      <text>
        <r>
          <rPr>
            <b/>
            <sz val="11"/>
            <color indexed="81"/>
            <rFont val="Tahoma"/>
            <family val="2"/>
          </rPr>
          <t>Gasto de inversion en el fondo educativo del colegio llevado contra excedentes
$30.000.000</t>
        </r>
      </text>
    </comment>
    <comment ref="Q134" authorId="0" shapeId="0" xr:uid="{CBCD2F79-10C6-4921-B7C4-536FE89B01C4}">
      <text>
        <r>
          <rPr>
            <sz val="11"/>
            <color indexed="81"/>
            <rFont val="Tahoma"/>
            <family val="2"/>
          </rPr>
          <t xml:space="preserve">P Y G Proyecto educativo
</t>
        </r>
      </text>
    </comment>
    <comment ref="O135" authorId="0" shapeId="0" xr:uid="{715177FF-1D60-4481-BCFE-279DDC4F1FC2}">
      <text>
        <r>
          <rPr>
            <sz val="11"/>
            <color indexed="81"/>
            <rFont val="Tahoma"/>
            <family val="2"/>
          </rPr>
          <t xml:space="preserve">Valor de excedentes 2023. aplicados contra gastos de inversion en proyectos educativos-Juanitas- Por un valor de $86.124.647
</t>
        </r>
      </text>
    </comment>
    <comment ref="Q141" authorId="0" shapeId="0" xr:uid="{AB4AA26A-8D1D-4718-A7AA-D3EA67E8C914}">
      <text>
        <r>
          <rPr>
            <b/>
            <sz val="11"/>
            <color indexed="81"/>
            <rFont val="Tahoma"/>
            <family val="2"/>
          </rPr>
          <t>Pyg Cesde</t>
        </r>
      </text>
    </comment>
    <comment ref="Q146" authorId="0" shapeId="0" xr:uid="{FB4072D9-9140-41AB-9893-709F1DA44FCA}">
      <text>
        <r>
          <rPr>
            <b/>
            <sz val="11"/>
            <color indexed="81"/>
            <rFont val="Tahoma"/>
            <family val="2"/>
          </rPr>
          <t>Pyg Fernando Arroyave</t>
        </r>
      </text>
    </comment>
    <comment ref="Q151" authorId="0" shapeId="0" xr:uid="{0000D5C8-1467-4C8C-A190-508F6722644F}">
      <text>
        <r>
          <rPr>
            <b/>
            <sz val="11"/>
            <color indexed="81"/>
            <rFont val="Tahoma"/>
            <family val="2"/>
          </rPr>
          <t>P y G proyecto de seguridad alimentaria : -2.640.499</t>
        </r>
      </text>
    </comment>
    <comment ref="D152" authorId="0" shapeId="0" xr:uid="{857D2D38-2A1E-499B-A9BE-6D544615CBDF}">
      <text>
        <r>
          <rPr>
            <b/>
            <sz val="11"/>
            <color indexed="81"/>
            <rFont val="Tahoma"/>
            <family val="2"/>
          </rPr>
          <t>Porcentaje total del gastos invertido en el objeto social de la Asociación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57" authorId="0" shapeId="0" xr:uid="{6C7E4847-9884-43C9-A2DE-150BF9812B5F}">
      <text>
        <r>
          <rPr>
            <sz val="11"/>
            <color indexed="81"/>
            <rFont val="Tahoma"/>
            <family val="2"/>
          </rPr>
          <t xml:space="preserve">Donacion en especie con certificado , como honorario de conferencias Comfama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ANDRESILLO</author>
  </authors>
  <commentList>
    <comment ref="B19" authorId="0" shapeId="0" xr:uid="{0AFD6025-68A9-4B12-ADAB-DBBC7106EC64}">
      <text>
        <r>
          <rPr>
            <sz val="9"/>
            <color indexed="81"/>
            <rFont val="Tahoma"/>
            <family val="2"/>
          </rPr>
          <t xml:space="preserve">Asistencia en salud para el trabajo : 600.000
Asistencia en el manejo de redes : 550.000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ANDRESILLO</author>
    <author>Janus</author>
  </authors>
  <commentList>
    <comment ref="B19" authorId="0" shapeId="0" xr:uid="{88B4EAC4-A031-4AC6-A607-81155A52852B}">
      <text>
        <r>
          <rPr>
            <sz val="9"/>
            <color indexed="81"/>
            <rFont val="Tahoma"/>
            <family val="2"/>
          </rPr>
          <t xml:space="preserve">Asistencia en el manejo de redes : 750.000
</t>
        </r>
      </text>
    </comment>
    <comment ref="B49" authorId="1" shapeId="0" xr:uid="{5A97ED51-AB72-4B0D-B173-96836F35BEE4}">
      <text>
        <r>
          <rPr>
            <sz val="11"/>
            <color indexed="81"/>
            <rFont val="Tahoma"/>
            <family val="2"/>
          </rPr>
          <t xml:space="preserve">Compra de muestras de uniformes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19" authorId="0" shapeId="0" xr:uid="{2F9EC165-6694-4084-ACA9-803540F99052}">
      <text>
        <r>
          <rPr>
            <sz val="11"/>
            <color indexed="81"/>
            <rFont val="Tahoma"/>
            <family val="2"/>
          </rPr>
          <t xml:space="preserve">Manejo de redes sociales 
</t>
        </r>
      </text>
    </comment>
    <comment ref="B27" authorId="0" shapeId="0" xr:uid="{0029F8D4-B9CC-4607-BD37-AB68B5F2BC3B}">
      <text>
        <r>
          <rPr>
            <b/>
            <sz val="11"/>
            <color indexed="81"/>
            <rFont val="Tahoma"/>
            <family val="2"/>
          </rPr>
          <t>Sistema POS electronico Aliaddo : $478.800
Google suite : 210.524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B34" authorId="0" shapeId="0" xr:uid="{78CC2DD7-4903-4EF6-B81A-2B91EBF28BB0}">
      <text>
        <r>
          <rPr>
            <b/>
            <sz val="11"/>
            <color indexed="81"/>
            <rFont val="Tahoma"/>
            <family val="2"/>
          </rPr>
          <t>Celebracion de cumpleaños</t>
        </r>
      </text>
    </comment>
    <comment ref="B36" authorId="0" shapeId="0" xr:uid="{1AB86A69-2AD8-4746-AF22-D78E0DD98D5F}">
      <text>
        <r>
          <rPr>
            <b/>
            <sz val="11"/>
            <color indexed="81"/>
            <rFont val="Tahoma"/>
            <family val="2"/>
          </rPr>
          <t>Impresora : $70.000
Anticipo Biblioteca : 890.000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B41" authorId="0" shapeId="0" xr:uid="{ABA031CB-B8AD-4E95-BA8D-A438526C60AD}">
      <text>
        <r>
          <rPr>
            <b/>
            <sz val="11"/>
            <color indexed="81"/>
            <rFont val="Tahoma"/>
            <family val="2"/>
          </rPr>
          <t>taxis para recoger donaciones, llevar camisetas a sublimar, comprar camisetas y compras de refrigerio , todos gastos administrativos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B46" authorId="0" shapeId="0" xr:uid="{9346EAC0-6D90-4B53-A7DB-0A8DBEB09275}">
      <text>
        <r>
          <rPr>
            <b/>
            <sz val="11"/>
            <color indexed="81"/>
            <rFont val="Tahoma"/>
            <family val="2"/>
          </rPr>
          <t>Vacunas CESDE</t>
        </r>
      </text>
    </comment>
    <comment ref="B61" authorId="0" shapeId="0" xr:uid="{330D6270-97EB-474F-A6C8-4C211C8D2894}">
      <text>
        <r>
          <rPr>
            <b/>
            <sz val="11"/>
            <color indexed="81"/>
            <rFont val="Tahoma"/>
            <family val="2"/>
          </rPr>
          <t>gastos de grados de Juanitas incluyendo Togas de grado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18" authorId="0" shapeId="0" xr:uid="{26E23A09-2943-47C7-947B-E773310DA749}">
      <text>
        <r>
          <rPr>
            <sz val="11"/>
            <color indexed="81"/>
            <rFont val="Tahoma"/>
            <family val="2"/>
          </rPr>
          <t xml:space="preserve">Auxilio de tte de practicantes : 
Veronica : $500.000
Manuela : $500.000
</t>
        </r>
      </text>
    </comment>
    <comment ref="B19" authorId="0" shapeId="0" xr:uid="{56B83BC4-BDBE-4DEC-A0C8-76DDDA5BB428}">
      <text>
        <r>
          <rPr>
            <sz val="11"/>
            <color indexed="81"/>
            <rFont val="Tahoma"/>
            <family val="2"/>
          </rPr>
          <t xml:space="preserve">Sofia Jimenez : Manejo de redes sociales : $1.000.000
Maria Isabel Abad Ramirez : Asesoria en implementacion de SG STT mayo $600.000  </t>
        </r>
      </text>
    </comment>
    <comment ref="B27" authorId="0" shapeId="0" xr:uid="{A60B4F29-473B-46F8-822A-F8323A629486}">
      <text>
        <r>
          <rPr>
            <sz val="11"/>
            <color indexed="81"/>
            <rFont val="Tahoma"/>
            <family val="2"/>
          </rPr>
          <t>Adobe System : Renovación licencia de adobe y photoshop 2024: $2.173.200
Google workspace : $205.575</t>
        </r>
      </text>
    </comment>
    <comment ref="B40" authorId="0" shapeId="0" xr:uid="{1B3CF713-3136-4309-A3C4-172EC9FF20F1}">
      <text>
        <r>
          <rPr>
            <sz val="11"/>
            <color indexed="81"/>
            <rFont val="Tahoma"/>
            <family val="2"/>
          </rPr>
          <t>Papeleria oficina: $122.201
Comprobantes contables litografiados : $319.000</t>
        </r>
      </text>
    </comment>
    <comment ref="B42" authorId="0" shapeId="0" xr:uid="{11F427A2-E85D-4BE9-AD98-A3786DC1C54F}">
      <text>
        <r>
          <rPr>
            <sz val="11"/>
            <color indexed="81"/>
            <rFont val="Tahoma"/>
            <family val="2"/>
          </rPr>
          <t xml:space="preserve">Trasnporte para recoger donaciones ropero y diligencias
</t>
        </r>
      </text>
    </comment>
    <comment ref="B44" authorId="0" shapeId="0" xr:uid="{DD0891E3-12AC-4A56-833B-52D2DC3A55DD}">
      <text>
        <r>
          <rPr>
            <sz val="11"/>
            <color indexed="81"/>
            <rFont val="Tahoma"/>
            <family val="2"/>
          </rPr>
          <t xml:space="preserve">Gastos en eucaristias y celebraciones de Quinquenio 1994
</t>
        </r>
      </text>
    </comment>
    <comment ref="B46" authorId="0" shapeId="0" xr:uid="{D67FEF24-8255-46C9-ACDF-10886DC2712A}">
      <text>
        <r>
          <rPr>
            <sz val="11"/>
            <color indexed="81"/>
            <rFont val="Tahoma"/>
            <family val="2"/>
          </rPr>
          <t>En especie : $10.404.000
En efectivo : 508.500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19" authorId="0" shapeId="0" xr:uid="{4F6DB4FF-2CCB-4887-801F-27CF60AC966E}">
      <text>
        <r>
          <rPr>
            <sz val="11"/>
            <color indexed="81"/>
            <rFont val="Tahoma"/>
            <family val="2"/>
          </rPr>
          <t>Maria Isabel Abad : Asesoria en SSGT: $200.000
Sofia Jimenez - Redes - $950.000</t>
        </r>
      </text>
    </comment>
    <comment ref="B27" authorId="0" shapeId="0" xr:uid="{80E76255-C3B6-4F45-9DDF-72A0B13773B2}">
      <text>
        <r>
          <rPr>
            <sz val="11"/>
            <color indexed="81"/>
            <rFont val="Tahoma"/>
            <family val="2"/>
          </rPr>
          <t xml:space="preserve">Paquete de DSEL : 187.100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19" authorId="0" shapeId="0" xr:uid="{9A03DDD2-B0FD-49A5-B3A6-15695DCA219E}">
      <text>
        <r>
          <rPr>
            <sz val="11"/>
            <color indexed="81"/>
            <rFont val="Tahoma"/>
            <family val="2"/>
          </rPr>
          <t>Maria Isabel Abad : Asesoria en SSGT: $200.000
Sofia Jimenez - Redes - $850.000</t>
        </r>
      </text>
    </comment>
    <comment ref="B39" authorId="0" shapeId="0" xr:uid="{23865179-2336-409E-9104-084E9C4E7166}">
      <text>
        <r>
          <rPr>
            <sz val="11"/>
            <color indexed="81"/>
            <rFont val="Tahoma"/>
            <family val="2"/>
          </rPr>
          <t>Seguro contrato comfama $65.699
Pago de bono : $3.000.000</t>
        </r>
      </text>
    </comment>
    <comment ref="B49" authorId="0" shapeId="0" xr:uid="{5AECE912-48D0-4726-A9E6-B682021CFCFF}">
      <text>
        <r>
          <rPr>
            <b/>
            <sz val="11"/>
            <color indexed="81"/>
            <rFont val="Tahoma"/>
            <family val="2"/>
          </rPr>
          <t>Donacion Alexander Pestana</t>
        </r>
        <r>
          <rPr>
            <sz val="11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19" authorId="0" shapeId="0" xr:uid="{31A4D7E5-4D09-4063-B012-0A60B6EF50BA}">
      <text>
        <r>
          <rPr>
            <sz val="11"/>
            <color indexed="81"/>
            <rFont val="Tahoma"/>
            <family val="2"/>
          </rPr>
          <t>Sofia Jimenez - Redes - $850.000</t>
        </r>
      </text>
    </comment>
    <comment ref="B22" authorId="0" shapeId="0" xr:uid="{10DD8B51-188F-4D10-B2A2-5DE3C29BA1E7}">
      <text>
        <r>
          <rPr>
            <sz val="11"/>
            <color indexed="81"/>
            <rFont val="Tahoma"/>
            <family val="2"/>
          </rPr>
          <t xml:space="preserve">Seguro todo riesgo fatima couta inicial
</t>
        </r>
      </text>
    </comment>
    <comment ref="B39" authorId="0" shapeId="0" xr:uid="{EFD67616-7B70-45E9-831D-365EF43DEF07}">
      <text>
        <r>
          <rPr>
            <sz val="11"/>
            <color indexed="81"/>
            <rFont val="Tahoma"/>
            <family val="2"/>
          </rPr>
          <t xml:space="preserve">Pagos de contrato comfama $49.283
pago de ajuares : 300.000.
Transporte varios proyectos : $40.000
</t>
        </r>
      </text>
    </comment>
    <comment ref="B49" authorId="0" shapeId="0" xr:uid="{5EEC9690-DC69-4161-89A5-5006597AD534}">
      <text>
        <r>
          <rPr>
            <b/>
            <sz val="11"/>
            <color indexed="81"/>
            <rFont val="Tahoma"/>
            <family val="2"/>
          </rPr>
          <t>Donacion Alexander Pestana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B62" authorId="0" shapeId="0" xr:uid="{A52740E6-D2BD-4A80-931E-74079293D232}">
      <text>
        <r>
          <rPr>
            <sz val="11"/>
            <color indexed="81"/>
            <rFont val="Tahoma"/>
            <family val="2"/>
          </rPr>
          <t xml:space="preserve">Ambulancia ceremonia certiifcación juanitas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Janus</author>
  </authors>
  <commentList>
    <comment ref="B19" authorId="0" shapeId="0" xr:uid="{10346581-4FA3-4EC2-965B-2210A7063025}">
      <text>
        <r>
          <rPr>
            <sz val="11"/>
            <color indexed="81"/>
            <rFont val="Tahoma"/>
            <family val="2"/>
          </rPr>
          <t>Bonos navideños
Alexander David Valencia : 250.000
Angie Veronica Osorio : 250.000
Manuela Ramirez : 250.000
Maria Isabel Abad : 400.000 (Asesoria SSGT)
Santiago Hincapie Arredondo : 360.000
Sofia Jimenez Montealegre : 80.000 (Venta de uniformes)
Sofia Jimenez Montealegre : 700.000 (Manejo de redes)</t>
        </r>
      </text>
    </comment>
    <comment ref="B22" authorId="0" shapeId="0" xr:uid="{9E9E01AA-EB86-4C94-83E7-71854534DD11}">
      <text>
        <r>
          <rPr>
            <sz val="11"/>
            <color indexed="81"/>
            <rFont val="Tahoma"/>
            <family val="2"/>
          </rPr>
          <t xml:space="preserve">Seguro todo riesgo fatima couta 1
</t>
        </r>
      </text>
    </comment>
    <comment ref="B27" authorId="0" shapeId="0" xr:uid="{362FA3C9-D6B0-47AA-A5A9-56E7B447EED7}">
      <text>
        <r>
          <rPr>
            <sz val="11"/>
            <color indexed="81"/>
            <rFont val="Tahoma"/>
            <family val="2"/>
          </rPr>
          <t>Compra de paquete de aliaddo . 187.000
Hosting Google suite : 223.084
Mtto de world office : 206.340</t>
        </r>
      </text>
    </comment>
    <comment ref="B39" authorId="0" shapeId="0" xr:uid="{7F0D8880-3E17-4E6A-AD9A-3FE4640E4427}">
      <text>
        <r>
          <rPr>
            <sz val="11"/>
            <color indexed="81"/>
            <rFont val="Tahoma"/>
            <family val="2"/>
          </rPr>
          <t xml:space="preserve">Conferencia Comfama : 200.000
Seguro Comfama : 18.015
Compra de insumos ajuares : 40.200
</t>
        </r>
      </text>
    </comment>
    <comment ref="B49" authorId="0" shapeId="0" xr:uid="{A8B22C27-56C8-4572-8CB1-ECAB46A2C01E}">
      <text>
        <r>
          <rPr>
            <b/>
            <sz val="11"/>
            <color indexed="81"/>
            <rFont val="Tahoma"/>
            <family val="2"/>
          </rPr>
          <t>Donacion Alexander Pestana</t>
        </r>
        <r>
          <rPr>
            <sz val="11"/>
            <color indexed="81"/>
            <rFont val="Tahoma"/>
            <family val="2"/>
          </rPr>
          <t xml:space="preserve">
</t>
        </r>
      </text>
    </comment>
    <comment ref="B50" authorId="0" shapeId="0" xr:uid="{278101F7-9CC6-4ADF-889A-B7A91F558AFB}">
      <text>
        <r>
          <rPr>
            <sz val="11"/>
            <color indexed="81"/>
            <rFont val="Tahoma"/>
            <family val="2"/>
          </rPr>
          <t xml:space="preserve">Almuerzo empeleados
</t>
        </r>
      </text>
    </comment>
    <comment ref="B62" authorId="0" shapeId="0" xr:uid="{BD492BC8-2C9F-4159-A87F-09A7DD047459}">
      <text>
        <r>
          <rPr>
            <sz val="11"/>
            <color indexed="81"/>
            <rFont val="Tahoma"/>
            <family val="2"/>
          </rPr>
          <t>Compra de equipos medicos juanitas 2025 : $3.411.670
Uniformes Juanitas : 6.428.571</t>
        </r>
      </text>
    </comment>
  </commentList>
</comments>
</file>

<file path=xl/sharedStrings.xml><?xml version="1.0" encoding="utf-8"?>
<sst xmlns="http://schemas.openxmlformats.org/spreadsheetml/2006/main" count="2927" uniqueCount="360">
  <si>
    <t>Estado de Resultados por Períodos</t>
  </si>
  <si>
    <t xml:space="preserve">ENERO </t>
  </si>
  <si>
    <t xml:space="preserve">TOTAL </t>
  </si>
  <si>
    <t>VENTAS DE UNIFORMES</t>
  </si>
  <si>
    <t>ARRENDAMIENTOS</t>
  </si>
  <si>
    <t>INTERESES FINANCIEROS</t>
  </si>
  <si>
    <t>MANTENIMIENTO Y REPARACIONES</t>
  </si>
  <si>
    <t>GASTOS NO OPERACIONALES</t>
  </si>
  <si>
    <t>FINANCIEROS</t>
  </si>
  <si>
    <t>TOTAL GASTOS ADMINISTRATIVOS</t>
  </si>
  <si>
    <t>GASTOS ADMINISTRATIVOS</t>
  </si>
  <si>
    <t>ACTIVOS</t>
  </si>
  <si>
    <t>EFECTIVO Y EQUIVALENTE DE EFECTIVO</t>
  </si>
  <si>
    <t>INVENTARIOS</t>
  </si>
  <si>
    <t>MCIA NO FCADAS POR LA EMPRESA</t>
  </si>
  <si>
    <t>PROPIEDAD, PLANTA Y EQUIPO</t>
  </si>
  <si>
    <t>MAQUINARIA Y EQUIPO</t>
  </si>
  <si>
    <t>MUEBLES Y EQUIPO DE OFICINA</t>
  </si>
  <si>
    <t>PASIVOS</t>
  </si>
  <si>
    <t>OBLIGACIONES LABORALES</t>
  </si>
  <si>
    <t>PATRIMONIO</t>
  </si>
  <si>
    <t>CAPITAL SOCIAL</t>
  </si>
  <si>
    <t>ACTIVO</t>
  </si>
  <si>
    <t>CUENTAS DE AHORRO 10872684307</t>
  </si>
  <si>
    <t>CAJA GENERAL</t>
  </si>
  <si>
    <t>TOTAL INGRESOS NO OPERACIONALES</t>
  </si>
  <si>
    <t>EXCEDENTES DE AÑOS ANTERIORES</t>
  </si>
  <si>
    <t>RETENCIONES Y APORTES DE NOMINA</t>
  </si>
  <si>
    <t>IMPUESTOS VARIOS</t>
  </si>
  <si>
    <t>PROYECTO AJUARES</t>
  </si>
  <si>
    <t>ROPERO</t>
  </si>
  <si>
    <t>INGRESOS POR DONACIONES</t>
  </si>
  <si>
    <t xml:space="preserve">TOTAL DONACIONES </t>
  </si>
  <si>
    <t xml:space="preserve">INGRESOS  </t>
  </si>
  <si>
    <t>TOTAL GASTOS NO OPERACIONALES</t>
  </si>
  <si>
    <t>TOTAL DE INGRESOS</t>
  </si>
  <si>
    <t>TOTAL DE GASTOS Y COSTOS</t>
  </si>
  <si>
    <t>HONORARIOS</t>
  </si>
  <si>
    <t>NOTAS</t>
  </si>
  <si>
    <t>EMPLEADO</t>
  </si>
  <si>
    <t>SUELDO</t>
  </si>
  <si>
    <t>AUX TTE</t>
  </si>
  <si>
    <t>CESANTIAS</t>
  </si>
  <si>
    <t>VACACIONES</t>
  </si>
  <si>
    <t>ARL</t>
  </si>
  <si>
    <t>PENSION</t>
  </si>
  <si>
    <t>TOTAL</t>
  </si>
  <si>
    <t>VALOR TOTAL</t>
  </si>
  <si>
    <t>TAXIS Y BUSES</t>
  </si>
  <si>
    <t>PARQUEADEROS</t>
  </si>
  <si>
    <t>GASTOS NO DEDUCIBLES</t>
  </si>
  <si>
    <t>LUZ MARIA GOMEZ SALDARRIAGA</t>
  </si>
  <si>
    <t>GASTOS LEGALES</t>
  </si>
  <si>
    <t>APROVECHAMIENTOS</t>
  </si>
  <si>
    <t>PASIVO + PATRIMONIO</t>
  </si>
  <si>
    <t>LUZ MARINA MARTINEZ</t>
  </si>
  <si>
    <t>SALUD</t>
  </si>
  <si>
    <t>PARAFISCALES</t>
  </si>
  <si>
    <t>PRIMA</t>
  </si>
  <si>
    <t>INT CESANT</t>
  </si>
  <si>
    <t>TOTAL MENSUAL</t>
  </si>
  <si>
    <t xml:space="preserve">TOTAL MENSUAL </t>
  </si>
  <si>
    <t xml:space="preserve">PROVISIONES DE PRESTACIONES SOCIALES </t>
  </si>
  <si>
    <t>CAMPAÑA BONO (RIFA)</t>
  </si>
  <si>
    <t>GASTOS Y COSTOS</t>
  </si>
  <si>
    <t>PROVEEDORES NACIONALES</t>
  </si>
  <si>
    <t>TIENDA ESCOLAR</t>
  </si>
  <si>
    <t xml:space="preserve">CLARA VICTORIA MONTEALEGRE </t>
  </si>
  <si>
    <t>INTERNET</t>
  </si>
  <si>
    <t>NOMINA Y HONORARIOS</t>
  </si>
  <si>
    <t>OTROS</t>
  </si>
  <si>
    <t xml:space="preserve">OTROS GASTOS </t>
  </si>
  <si>
    <t>TRANSPORTE FLETES Y ACARREOS</t>
  </si>
  <si>
    <t>EXCEDENTES O PÉRDIDA ACUMUL. DEL EJER.</t>
  </si>
  <si>
    <t>DAVID ALEJANDRO MUÑOZ RUIZ</t>
  </si>
  <si>
    <t>DONACIONES DE TERCEROS PARTICULARES</t>
  </si>
  <si>
    <t>APORTE DE EXALUMNAS</t>
  </si>
  <si>
    <t>ASOCIACIÓN DE EXALUMNAS DEL COLEGIO LA ENSEÑANZA</t>
  </si>
  <si>
    <t>ASOCIACIÓN DE EXALUMNAS DEL COLEGIO DE LA COMPAÑÍA DE MARÍA LA ENSEÑANZA</t>
  </si>
  <si>
    <t>DESCRIPCIÓN</t>
  </si>
  <si>
    <t>RETIRO</t>
  </si>
  <si>
    <t>ARL PRACTICANTE</t>
  </si>
  <si>
    <t>CASA FÁTIMA</t>
  </si>
  <si>
    <t>SOFTWARE Y EQUIPO DE COMPUTO</t>
  </si>
  <si>
    <t>DEPRECIACIÓN ACUMULADA</t>
  </si>
  <si>
    <t>RETENCIÓN EN LA FUENTE POR PAGAR</t>
  </si>
  <si>
    <t>IMPUESTOS GRAVÁMENES Y TASAS</t>
  </si>
  <si>
    <t>REVALORIZACIÓN DEL PATRIMONIO</t>
  </si>
  <si>
    <t>EXCEDENTE O PÉRDIDA DEL EJERCICIO</t>
  </si>
  <si>
    <t>SUPERÁVIT POR VALORIZACIÓN</t>
  </si>
  <si>
    <t>ECUACIÓN CONTABLE</t>
  </si>
  <si>
    <t>NIT: 890.905.759-5</t>
  </si>
  <si>
    <t>CC1</t>
  </si>
  <si>
    <t>CC2</t>
  </si>
  <si>
    <t>CC3</t>
  </si>
  <si>
    <t>CC4</t>
  </si>
  <si>
    <t>CC5</t>
  </si>
  <si>
    <t>CC6</t>
  </si>
  <si>
    <t>CC7</t>
  </si>
  <si>
    <t>CC8</t>
  </si>
  <si>
    <t>CC9</t>
  </si>
  <si>
    <t>ALMUERZO</t>
  </si>
  <si>
    <t>CUOTA DE AFILIACIÓN</t>
  </si>
  <si>
    <t>TOTAL ACTIVOS</t>
  </si>
  <si>
    <t>TOTAL PASIVOS</t>
  </si>
  <si>
    <t>TOTAL PATRIMONIO</t>
  </si>
  <si>
    <t>JUANITA OROZCO JARAMILLO</t>
  </si>
  <si>
    <t>PROYECTO DE SEGURIDAD ALIMENTARIA</t>
  </si>
  <si>
    <t>PUBLICIDAD Y PORTAL WEB</t>
  </si>
  <si>
    <t>VANESSA FORONDA LOPEZ</t>
  </si>
  <si>
    <t>DAVID CORRALES RODAS</t>
  </si>
  <si>
    <t>ADMINISTRACION DE LOCALES</t>
  </si>
  <si>
    <t>Aministracion</t>
  </si>
  <si>
    <t>REINTEGRO DE COSTOS Y GASTOS</t>
  </si>
  <si>
    <t>QUINQUENIOS</t>
  </si>
  <si>
    <t>SERVICIOS GENERALES</t>
  </si>
  <si>
    <t>MARIA EUGENIA RESTREPO</t>
  </si>
  <si>
    <t>DOTACION</t>
  </si>
  <si>
    <t xml:space="preserve">ESTADO DE SITUACIÓN FINANCIERA (BALANCE GENERAL) </t>
  </si>
  <si>
    <t>ANTICIPO DE IMPUESTOS</t>
  </si>
  <si>
    <t>GASTOS DIFERIDOS</t>
  </si>
  <si>
    <t>SEGUROS</t>
  </si>
  <si>
    <t>PRESUPUESTO DE GASTOS GRUPOS CUIDADORES JUANITAS PLUS</t>
  </si>
  <si>
    <t>GRUPO</t>
  </si>
  <si>
    <t>GRUPOS</t>
  </si>
  <si>
    <t>CONCEPTOS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</si>
  <si>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</si>
  <si>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</si>
  <si>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</si>
  <si>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</si>
  <si>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</si>
  <si>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</si>
  <si>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</si>
  <si>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</si>
  <si>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</si>
  <si>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</si>
  <si>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</si>
  <si>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</si>
  <si>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DOCENTES</t>
  </si>
  <si>
    <t>MATERIAL DIDÁCTICO</t>
  </si>
  <si>
    <t>REFRIGERIO</t>
  </si>
  <si>
    <t>SUBSIDIO DE TRANSPORTE PARA ALUMNAS</t>
  </si>
  <si>
    <t>PORTERO COLEGIO</t>
  </si>
  <si>
    <t>GRADO</t>
  </si>
  <si>
    <t>EQUIPOS MÉDICOS</t>
  </si>
  <si>
    <t>RECURSO HUMANO ASOCIACIÓN</t>
  </si>
  <si>
    <t>OTROS GASTOS CON CARGO SOCIAL</t>
  </si>
  <si>
    <t>SUBTOTAL</t>
  </si>
  <si>
    <t>AIU ASOCIACIÓN EXALUMNAS</t>
  </si>
  <si>
    <t>PRESUPUESTO DE GASTOS GRUPOS JUANITAS PRO</t>
  </si>
  <si>
    <t>RESTANTE POR EJECUTAR</t>
  </si>
  <si>
    <t>FIDUCIA NO. 617002005345  BANCOLOMBIA F.SOCIAL</t>
  </si>
  <si>
    <t>CONFERENCIA</t>
  </si>
  <si>
    <t>DUEDORES NACIONALES</t>
  </si>
  <si>
    <t>DEUDORES NACIONALES</t>
  </si>
  <si>
    <t>MENSAJERIA</t>
  </si>
  <si>
    <t xml:space="preserve">TRANSPORTE </t>
  </si>
  <si>
    <t xml:space="preserve">FIDUCIA NO, 7001000022462  BANCOLOMBIA </t>
  </si>
  <si>
    <t>juanitas Pro</t>
  </si>
  <si>
    <t>Juanitas Plus</t>
  </si>
  <si>
    <t>Conferencias</t>
  </si>
  <si>
    <t>Mercados</t>
  </si>
  <si>
    <t>Ropero</t>
  </si>
  <si>
    <t>Eventos Asociación Eucaristias-Bonos-Quinquenios-Ajuares-Retiros y otros</t>
  </si>
  <si>
    <t>Tienda escolar</t>
  </si>
  <si>
    <t>Venta de uniformes</t>
  </si>
  <si>
    <t>EJECUCION SOCIAL ASOCIACION DE EXALUMNAS COLEGIO LA ENSEÑAÑZA</t>
  </si>
  <si>
    <t>CONCEPTO DEL GASTO</t>
  </si>
  <si>
    <t xml:space="preserve">NOMINA Y HONORARIOS </t>
  </si>
  <si>
    <t>GASTO O COSTO TOTAL</t>
  </si>
  <si>
    <t>Total del gasto cargado a Administración</t>
  </si>
  <si>
    <t>Total del gasto llevado a la Inversion social</t>
  </si>
  <si>
    <t>Total del gasto y costo llevado a la Actividad comercial</t>
  </si>
  <si>
    <t>ADMINISTRACION</t>
  </si>
  <si>
    <t>INVERSION SOCIAL</t>
  </si>
  <si>
    <t>valor</t>
  </si>
  <si>
    <t>Valor</t>
  </si>
  <si>
    <t>CCA</t>
  </si>
  <si>
    <t>casilla de prueba 1</t>
  </si>
  <si>
    <t>casilla de prueba 2</t>
  </si>
  <si>
    <t>Valor total del gasto</t>
  </si>
  <si>
    <t>TOTALES</t>
  </si>
  <si>
    <t>Otros gastos diferentes a Nomina y Honorarios</t>
  </si>
  <si>
    <t>ASESORIA CONTABLE</t>
  </si>
  <si>
    <t>MARIA EUGENIA RESTREPO (Honorarios)</t>
  </si>
  <si>
    <t>DAVID CORRALES RODAS (Honorarios)</t>
  </si>
  <si>
    <t>OTROS HONORARIOS</t>
  </si>
  <si>
    <t>ASEO Y VIGILANCIA</t>
  </si>
  <si>
    <t>GOOGLE SUITE-LICENCIAS Y HOSTING</t>
  </si>
  <si>
    <t>GASTOS DE REPRESENTACION</t>
  </si>
  <si>
    <t>ADMINISTRACION DE REDES SOCIALES</t>
  </si>
  <si>
    <t xml:space="preserve">GASTOS DIFERIDOS </t>
  </si>
  <si>
    <t xml:space="preserve">PAPELERIA </t>
  </si>
  <si>
    <t>ATENCION EXALUMNAS</t>
  </si>
  <si>
    <t>Arriendos comerciales</t>
  </si>
  <si>
    <t>ACTIVIDAD COMERCIAL</t>
  </si>
  <si>
    <t>PRUEBA</t>
  </si>
  <si>
    <t xml:space="preserve">casilla de prueba </t>
  </si>
  <si>
    <t>Nomina y Honorarios</t>
  </si>
  <si>
    <t>Gastos Juanitas Pro directos</t>
  </si>
  <si>
    <t>Juanitas Pro</t>
  </si>
  <si>
    <t>Prueba 1</t>
  </si>
  <si>
    <t>Prueba 2</t>
  </si>
  <si>
    <t>TOTAL GASTO DIRECTO JUANITAS PRO MES</t>
  </si>
  <si>
    <t>HONORARIOS DOCENTES</t>
  </si>
  <si>
    <t>EQUIPOS MEDICOS</t>
  </si>
  <si>
    <t>REFRIGERIOS</t>
  </si>
  <si>
    <t>MATERIALES DIDACTICOS</t>
  </si>
  <si>
    <t>VIGILANCIA</t>
  </si>
  <si>
    <t>TRANSPORTES GRUPOS EDUCATIVOS</t>
  </si>
  <si>
    <t>AUXILIO DE TRANSPORTE JUANITAS</t>
  </si>
  <si>
    <t>TOTAL GASTOS</t>
  </si>
  <si>
    <t>GASTOS ACTIVIDADES COMERCIALES</t>
  </si>
  <si>
    <t>COSTO DE PROYECTO MERCADOS</t>
  </si>
  <si>
    <t>INGRESOS POR ACTIVIDADES COMERCIALES</t>
  </si>
  <si>
    <t>TOTAL POR ACTIVIDADES COMERCIALES</t>
  </si>
  <si>
    <t>INGRESOS POR EJECUCION DE PROYECTO EDUCATIVO</t>
  </si>
  <si>
    <t>JUANITAS PRO Y PLUS</t>
  </si>
  <si>
    <t>INGRESOS NO OPERACIONALES</t>
  </si>
  <si>
    <t>AJUSTE AL PESO</t>
  </si>
  <si>
    <t>TELEFONIA</t>
  </si>
  <si>
    <t>PROYECTOS EDUCATIVOS INVERSION SOCIAL</t>
  </si>
  <si>
    <t>total de gasto en proyectos educativos</t>
  </si>
  <si>
    <t>Total del gasto en Proyectos eduacativos</t>
  </si>
  <si>
    <t>CC4+CC5+CC6</t>
  </si>
  <si>
    <t>CC1+CC2+CC3</t>
  </si>
  <si>
    <t>CC7+CC8+CC9</t>
  </si>
  <si>
    <t>INVERSION SOCIAL PROYECTOS ASOEX</t>
  </si>
  <si>
    <t>INVERSION SOCIAL PROYECTO EDUCATIVO</t>
  </si>
  <si>
    <t>INVERSIÓN SOCIAL PROYECTOS ASOEX</t>
  </si>
  <si>
    <t>TOTAL INVERSION SOCIAL PROYECTOS ASOEX</t>
  </si>
  <si>
    <t>INVERSION SOCIAL PROYECTOS EDUCATIVOS</t>
  </si>
  <si>
    <t>DONACIONES VARIAS</t>
  </si>
  <si>
    <t>TOTAL INVERSION SOCIAL PROYECTOS EDUCATIVOS</t>
  </si>
  <si>
    <t>PART %</t>
  </si>
  <si>
    <t>COSTO DE LA VENTA ACTIVIDAD COMERCIAL</t>
  </si>
  <si>
    <t>COSTO MATERIA PRIMA</t>
  </si>
  <si>
    <t>UNIFORMES ESCOLARES</t>
  </si>
  <si>
    <t>TOTAL UNIFORMES ESCOLARES</t>
  </si>
  <si>
    <t>ARRENDAMIENTOS LOCALES</t>
  </si>
  <si>
    <t>TOTAL ARRENDAMIENTOS COMERCIALES</t>
  </si>
  <si>
    <t>TOTAL PROYECTOS EDUCATIVOS</t>
  </si>
  <si>
    <t>% EJECUTADO</t>
  </si>
  <si>
    <t>% POR EJECUTAR</t>
  </si>
  <si>
    <t>total gasto inv social</t>
  </si>
  <si>
    <t>OTRAS CUENTAS POR COBRAR</t>
  </si>
  <si>
    <t xml:space="preserve">OTRAS CUENTAS </t>
  </si>
  <si>
    <t>ASEO Y CAFETERIA</t>
  </si>
  <si>
    <t>FOTOGRAFIA</t>
  </si>
  <si>
    <t>AGO</t>
  </si>
  <si>
    <t>PROYECTO DE SEGURIDAD ALIMENTARIA ÉXITO-ASOCIACION</t>
  </si>
  <si>
    <t>SEPT</t>
  </si>
  <si>
    <t>INVERSION SOCIAL PROYECTO JUANITAS PRO</t>
  </si>
  <si>
    <t>OTROS GASTOS DE INVERSION SOCIAL ASOCIADO A JUANITAS PRO</t>
  </si>
  <si>
    <t>OCT</t>
  </si>
  <si>
    <t>NOV</t>
  </si>
  <si>
    <t>DIC</t>
  </si>
  <si>
    <t>EJECUCION AÑO 2024</t>
  </si>
  <si>
    <t>CAMPAÑA ESPECIAL ALEX</t>
  </si>
  <si>
    <t>NOMINA ENERO 2024</t>
  </si>
  <si>
    <t>NOMINA FEBRERO 2024</t>
  </si>
  <si>
    <t>NOMINA MARZO 2024</t>
  </si>
  <si>
    <t>PRACTICANTE</t>
  </si>
  <si>
    <t>COMPRA DE ACTIVOS OFICINA</t>
  </si>
  <si>
    <t>COSTO PROYECTO ÉXITO</t>
  </si>
  <si>
    <t>INVERSION EN PROYECTO EDUCATIVO</t>
  </si>
  <si>
    <t>YUDY ALEJANDRA CARRASQUILLA TAMAYO</t>
  </si>
  <si>
    <t>GASTOS MEDICOS</t>
  </si>
  <si>
    <t>AUXILIO DE TRANSPORTE PRACTICANTES</t>
  </si>
  <si>
    <t>GASTOS EN EJECUCION DE PROYECTOS</t>
  </si>
  <si>
    <t>AUXILIO DE TTE DE PRACTICANTES</t>
  </si>
  <si>
    <t>AUXILIO PRACTICANTE</t>
  </si>
  <si>
    <t>GASTOS EN EJECUCIÓN DE PROYECTOS</t>
  </si>
  <si>
    <t>De enero a marzo 2024</t>
  </si>
  <si>
    <t>CAJA DE COMPENSACION COMFAMA</t>
  </si>
  <si>
    <t>NOMINA ABRIL 2024</t>
  </si>
  <si>
    <t>IMPUESTO PREDIAL</t>
  </si>
  <si>
    <t>OTROS IMPUESTOS</t>
  </si>
  <si>
    <t>COSTO PROYECTO CESDE-ASOEX</t>
  </si>
  <si>
    <t>DONACION FONDO EDUCATIVO</t>
  </si>
  <si>
    <t xml:space="preserve">IMPUESTO PREDIAL </t>
  </si>
  <si>
    <t>INVERSION  PROYECTO SEGURIDAD ALIMENTARIA ASOEX</t>
  </si>
  <si>
    <t>INVERSION PROYECTO ÉXITO</t>
  </si>
  <si>
    <t>INVERSION PROYECTO CESDE-ASOEX</t>
  </si>
  <si>
    <t>INVERSIONES PROYECTO EDUCATIVO JUANITAS</t>
  </si>
  <si>
    <t>INVERSION FONDO EDUCATIVO</t>
  </si>
  <si>
    <t>diferencia</t>
  </si>
  <si>
    <t>COSTO TECNICO OPERATIVO PROYECTO SOCIAL ASOEX</t>
  </si>
  <si>
    <t>NOMINA MAYO 2024</t>
  </si>
  <si>
    <t>TOTAL GASTO DE INVERSION SOCIAL CONTABILIDAD</t>
  </si>
  <si>
    <t>GASTOS LLEVADO CONTRA EXCEDENTES EN PROYECTOS EDUCATIVOS</t>
  </si>
  <si>
    <t>De enero a mayo 2024</t>
  </si>
  <si>
    <t>NOMINA JUNIO 2024</t>
  </si>
  <si>
    <t>ALMUERZOS</t>
  </si>
  <si>
    <t>DONACIONES PARA EL DESARROLLO DE PROGRAMAS DEL COLEGIO</t>
  </si>
  <si>
    <t>NOMINA JULIO 2024</t>
  </si>
  <si>
    <t>Total gastos uniformes y tienda</t>
  </si>
  <si>
    <t>CC7+CC8</t>
  </si>
  <si>
    <t>CC5+CC6</t>
  </si>
  <si>
    <t>Total de gasto tienda y uniformes</t>
  </si>
  <si>
    <t>Total mercados</t>
  </si>
  <si>
    <t>Total tienda y uniformes</t>
  </si>
  <si>
    <t>Total gastos mercados</t>
  </si>
  <si>
    <t>Total tienda escolar y uniformes</t>
  </si>
  <si>
    <t>CC4+CC6</t>
  </si>
  <si>
    <t>COSTOS DIRECTOS JUANITAS</t>
  </si>
  <si>
    <t>OTROS COSTOS ASOCIADOS</t>
  </si>
  <si>
    <t>TOTAL INVERSIÓN PROYECTO SOCIAL- SALUD ALIMENTARIA ASOCIACION (INCLUYENDO CONVENIO ALMACENES ÉXITO)</t>
  </si>
  <si>
    <t>INVERSION FONDO EDUCATIVO COLEGIO AL ENSEÑANZA</t>
  </si>
  <si>
    <t>OTRAS DONACIONES</t>
  </si>
  <si>
    <t>TOTAL INVERSION SOCIAL PROYECTOS FINANCIADOS ASOCIACION</t>
  </si>
  <si>
    <t>INVERSION SOCIAL EN PROYECTOS AUTOFINACIADOS</t>
  </si>
  <si>
    <t>VALOR DE LA FINANCIACION DE LOS COSTOS TECNICOS PARA LA OPERACIÓN DEL PROYECTO SOCIAL</t>
  </si>
  <si>
    <t>COSTOS DE EJECUCION DEL PROYECTO</t>
  </si>
  <si>
    <t>TOTAL INVERSION SOCIAL PROYECTOS EDUCATIVOS-JUANITAS-</t>
  </si>
  <si>
    <t>INVERSION SOCIAL PROYECTOS EDUCATIVOS- JUANITAS-</t>
  </si>
  <si>
    <t>INVERSION PROYECTO SOCIAL SALUD ALIMENTARIA ASOCIACION (INCLUYENDO CONVENIO ALMACENES ÉXITO)</t>
  </si>
  <si>
    <t>APLICACIÓN DE GASTOS LLEVADO CONTRA EXCEDENTES</t>
  </si>
  <si>
    <t>TOTAL DE INVERSION -CONTABLE- PROYECTOS EDUCATIVOS</t>
  </si>
  <si>
    <t>PYG</t>
  </si>
  <si>
    <t>NOMINA AGOSTO 2024</t>
  </si>
  <si>
    <t>MANTENIMIENTO CASA FATIMA</t>
  </si>
  <si>
    <t>INVERSION SOCIAL PROYECTO MERCADOS</t>
  </si>
  <si>
    <t>INVERSION SOCIAL ROPERO</t>
  </si>
  <si>
    <t>INVERSION SOCIAL EN ACTIVIDADES ASOCIACION</t>
  </si>
  <si>
    <t>INVERSION EN ACTIVIDADES COMERCIALES</t>
  </si>
  <si>
    <t>INVERSION PROYECTO JUANITAS</t>
  </si>
  <si>
    <t>RESUMEN DE GASTOS MES DE AGOSTO</t>
  </si>
  <si>
    <t>MANTENIMINETO CASA FATIMA</t>
  </si>
  <si>
    <t>CDT BBVA 85538644-VILLATINA</t>
  </si>
  <si>
    <t>BONO SOLIDARIO</t>
  </si>
  <si>
    <t>NOMINA SEPTIEMBRE 2024</t>
  </si>
  <si>
    <t>HONORARIOS CONFERENCISTA</t>
  </si>
  <si>
    <t>GASTO EN CONFERENCISTAS</t>
  </si>
  <si>
    <t>PRESUPUESTO DE GASTOS CONFERENCIAS</t>
  </si>
  <si>
    <t>COSTO</t>
  </si>
  <si>
    <t>V/UNIT</t>
  </si>
  <si>
    <t>PROYECTO JUANITAS PRO- RODRIGO ARROYAVE</t>
  </si>
  <si>
    <t>PROYECTOS CESDE-COMFAMA-ASOCIACIÓN</t>
  </si>
  <si>
    <t>NOMINA OCTUBRE 2024</t>
  </si>
  <si>
    <t>Cesde</t>
  </si>
  <si>
    <t>CC1+CC2+CC3+CC4+CC5</t>
  </si>
  <si>
    <t>CC7-CC6</t>
  </si>
  <si>
    <t>CC8-CC9</t>
  </si>
  <si>
    <t>CC10</t>
  </si>
  <si>
    <t>Juanitas Rodrigo arroyave</t>
  </si>
  <si>
    <t>OTRAS INVERSIONES PROYECTO JUANITAS</t>
  </si>
  <si>
    <t>INVERSION SOCIAL PROYECTO- JUANITAS-CESDE-COMFAMA</t>
  </si>
  <si>
    <t>TOTAL INVERSION PROYECTO JUANITAS-CESDE-COMFAMA</t>
  </si>
  <si>
    <t>INVERSION SOCIAL PROYECTO- JUANITAS-FDO ARROYAVE</t>
  </si>
  <si>
    <t xml:space="preserve">Valor real de la inversion social en los primeros 10 meses del año : </t>
  </si>
  <si>
    <t>NOMINA</t>
  </si>
  <si>
    <t>NOMINA NOVIEMBRE 2024</t>
  </si>
  <si>
    <t>COMPARATIVO NOV-DIC 2024</t>
  </si>
  <si>
    <t>NOMINA DICIEMBRE 2024</t>
  </si>
  <si>
    <t>BONIFICACIONES</t>
  </si>
  <si>
    <t>BONO</t>
  </si>
  <si>
    <t>PROYECTO JUANITAS CORPORACION SAN BLAS</t>
  </si>
  <si>
    <t>APLICACIÓN DE GASTOS LLEVADOS CONTRA EXCEDENTES</t>
  </si>
  <si>
    <t>TOTAL INVERSION SOCIAL EN PROYECTOS AUTOFINACIADOS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</si>
</sst>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_(* #,##0_);_(* \(#,##0\);_(* &quot;-&quot;??_);_(@_)"/>
    <numFmt numFmtId="166" formatCode="0.0"/>
    <numFmt numFmtId="167" formatCode="_(* #,##0.000_);_(* \(#,##0.000\);_(* &quot;-&quot;??_);_(@_)"/>
  </numFmts>
  <fonts count="28" x14ac:knownFonts="1">
    <font>
      <sz val="11"/>
      <color theme="1"/>
      <name val="Calibri"/>
      <family val="2"/>
      <scheme val="minor"/>
    </font>
    <font>
      <sz val="10"/>
      <color indexed="8"/>
      <name val="MS Sans Serif"/>
      <family val="2"/>
    </font>
    <font>
      <sz val="9"/>
      <color indexed="81"/>
      <name val="Tahoma"/>
      <family val="2"/>
    </font>
    <font>
      <b/>
      <sz val="8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rgb="FFFF0000"/>
      <name val="Arial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9"/>
      <color indexed="81"/>
      <name val="Tahoma"/>
      <family val="2"/>
    </font>
    <font>
      <i/>
      <sz val="8"/>
      <name val="Arial"/>
      <family val="2"/>
    </font>
    <font>
      <i/>
      <sz val="8"/>
      <color indexed="8"/>
      <name val="Arial"/>
      <family val="2"/>
    </font>
    <font>
      <b/>
      <i/>
      <sz val="8"/>
      <color indexed="8"/>
      <name val="Arial"/>
      <family val="2"/>
    </font>
    <font>
      <i/>
      <sz val="8"/>
      <color theme="1"/>
      <name val="Arial"/>
      <family val="2"/>
    </font>
    <font>
      <sz val="11"/>
      <color indexed="81"/>
      <name val="Tahoma"/>
      <family val="2"/>
    </font>
    <font>
      <b/>
      <sz val="11"/>
      <color indexed="81"/>
      <name val="Tahoma"/>
      <family val="2"/>
    </font>
  </fonts>
  <fills count="2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164" fontId="8" fillId="0" borderId="0" applyFont="0" applyFill="0" applyBorder="0" applyAlignment="0" applyProtection="0"/>
    <xf numFmtId="0" fontId="1" fillId="0" borderId="0"/>
    <xf numFmtId="0" fontId="1" fillId="0" borderId="0"/>
    <xf numFmtId="9" fontId="8" fillId="0" borderId="0" applyFont="0" applyFill="0" applyBorder="0" applyAlignment="0" applyProtection="0"/>
  </cellStyleXfs>
  <cellXfs count="350">
    <xf numFmtId="0" fontId="0" fillId="0" borderId="0" xfId="0"/>
    <xf numFmtId="0" fontId="11" fillId="0" borderId="1" xfId="0" applyFont="1" applyBorder="1" applyAlignment="1">
      <alignment vertical="center"/>
    </xf>
    <xf numFmtId="3" fontId="11" fillId="0" borderId="1" xfId="0" applyNumberFormat="1" applyFont="1" applyBorder="1" applyAlignment="1">
      <alignment vertical="center"/>
    </xf>
    <xf numFmtId="0" fontId="12" fillId="3" borderId="1" xfId="0" applyFont="1" applyFill="1" applyBorder="1" applyAlignment="1">
      <alignment horizontal="center" vertical="center"/>
    </xf>
    <xf numFmtId="0" fontId="12" fillId="3" borderId="2" xfId="0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5" borderId="3" xfId="0" applyFont="1" applyFill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10" fontId="11" fillId="0" borderId="0" xfId="0" applyNumberFormat="1" applyFont="1" applyAlignment="1">
      <alignment horizontal="center" vertical="center"/>
    </xf>
    <xf numFmtId="9" fontId="11" fillId="0" borderId="0" xfId="0" applyNumberFormat="1" applyFont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12" fillId="3" borderId="8" xfId="0" applyFont="1" applyFill="1" applyBorder="1" applyAlignment="1">
      <alignment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1" fillId="0" borderId="11" xfId="0" applyFont="1" applyBorder="1" applyAlignment="1">
      <alignment vertical="center"/>
    </xf>
    <xf numFmtId="3" fontId="11" fillId="0" borderId="2" xfId="0" applyNumberFormat="1" applyFont="1" applyBorder="1" applyAlignment="1">
      <alignment vertical="center"/>
    </xf>
    <xf numFmtId="3" fontId="12" fillId="0" borderId="1" xfId="0" applyNumberFormat="1" applyFont="1" applyBorder="1" applyAlignment="1">
      <alignment vertical="center"/>
    </xf>
    <xf numFmtId="10" fontId="11" fillId="0" borderId="0" xfId="0" applyNumberFormat="1" applyFont="1" applyAlignment="1">
      <alignment vertical="center"/>
    </xf>
    <xf numFmtId="9" fontId="11" fillId="0" borderId="0" xfId="0" applyNumberFormat="1" applyFont="1" applyAlignment="1">
      <alignment vertical="center"/>
    </xf>
    <xf numFmtId="0" fontId="12" fillId="3" borderId="11" xfId="0" applyFont="1" applyFill="1" applyBorder="1" applyAlignment="1">
      <alignment vertical="center"/>
    </xf>
    <xf numFmtId="3" fontId="11" fillId="0" borderId="0" xfId="0" applyNumberFormat="1" applyFont="1" applyAlignment="1">
      <alignment vertical="center"/>
    </xf>
    <xf numFmtId="3" fontId="12" fillId="4" borderId="7" xfId="0" applyNumberFormat="1" applyFont="1" applyFill="1" applyBorder="1" applyAlignment="1">
      <alignment vertical="center"/>
    </xf>
    <xf numFmtId="3" fontId="12" fillId="0" borderId="7" xfId="0" applyNumberFormat="1" applyFont="1" applyBorder="1" applyAlignment="1">
      <alignment vertical="center"/>
    </xf>
    <xf numFmtId="0" fontId="12" fillId="5" borderId="11" xfId="0" applyFont="1" applyFill="1" applyBorder="1" applyAlignment="1">
      <alignment vertical="center"/>
    </xf>
    <xf numFmtId="0" fontId="12" fillId="5" borderId="1" xfId="0" applyFont="1" applyFill="1" applyBorder="1" applyAlignment="1">
      <alignment vertical="center"/>
    </xf>
    <xf numFmtId="0" fontId="12" fillId="5" borderId="1" xfId="0" applyFont="1" applyFill="1" applyBorder="1" applyAlignment="1">
      <alignment horizontal="center" vertical="center"/>
    </xf>
    <xf numFmtId="0" fontId="11" fillId="0" borderId="12" xfId="0" applyFont="1" applyBorder="1" applyAlignment="1">
      <alignment vertical="center"/>
    </xf>
    <xf numFmtId="3" fontId="11" fillId="0" borderId="13" xfId="0" applyNumberFormat="1" applyFont="1" applyBorder="1" applyAlignment="1">
      <alignment vertical="center"/>
    </xf>
    <xf numFmtId="0" fontId="11" fillId="0" borderId="14" xfId="0" applyFont="1" applyBorder="1" applyAlignment="1">
      <alignment vertical="center"/>
    </xf>
    <xf numFmtId="3" fontId="12" fillId="5" borderId="15" xfId="0" applyNumberFormat="1" applyFont="1" applyFill="1" applyBorder="1" applyAlignment="1">
      <alignment vertical="center"/>
    </xf>
    <xf numFmtId="0" fontId="12" fillId="0" borderId="11" xfId="0" applyFont="1" applyBorder="1" applyAlignment="1">
      <alignment vertical="center"/>
    </xf>
    <xf numFmtId="165" fontId="11" fillId="0" borderId="0" xfId="1" applyNumberFormat="1" applyFont="1" applyBorder="1" applyAlignment="1">
      <alignment vertical="center"/>
    </xf>
    <xf numFmtId="165" fontId="11" fillId="0" borderId="7" xfId="1" applyNumberFormat="1" applyFont="1" applyBorder="1" applyAlignment="1">
      <alignment vertical="center"/>
    </xf>
    <xf numFmtId="166" fontId="11" fillId="0" borderId="0" xfId="0" applyNumberFormat="1" applyFont="1" applyAlignment="1">
      <alignment vertical="center"/>
    </xf>
    <xf numFmtId="165" fontId="7" fillId="2" borderId="0" xfId="1" applyNumberFormat="1" applyFont="1" applyFill="1" applyBorder="1" applyAlignment="1">
      <alignment horizontal="right" vertical="center"/>
    </xf>
    <xf numFmtId="165" fontId="7" fillId="2" borderId="0" xfId="1" applyNumberFormat="1" applyFont="1" applyFill="1" applyBorder="1" applyAlignment="1" applyProtection="1"/>
    <xf numFmtId="165" fontId="6" fillId="2" borderId="0" xfId="1" applyNumberFormat="1" applyFont="1" applyFill="1" applyBorder="1" applyAlignment="1" applyProtection="1"/>
    <xf numFmtId="165" fontId="10" fillId="2" borderId="0" xfId="1" applyNumberFormat="1" applyFont="1" applyFill="1" applyBorder="1"/>
    <xf numFmtId="165" fontId="4" fillId="2" borderId="0" xfId="1" applyNumberFormat="1" applyFont="1" applyFill="1" applyBorder="1" applyAlignment="1">
      <alignment vertical="center"/>
    </xf>
    <xf numFmtId="165" fontId="4" fillId="2" borderId="0" xfId="1" applyNumberFormat="1" applyFont="1" applyFill="1" applyBorder="1" applyAlignment="1">
      <alignment horizontal="right" vertical="center"/>
    </xf>
    <xf numFmtId="165" fontId="4" fillId="2" borderId="0" xfId="1" applyNumberFormat="1" applyFont="1" applyFill="1" applyBorder="1" applyAlignment="1" applyProtection="1"/>
    <xf numFmtId="165" fontId="13" fillId="2" borderId="0" xfId="1" applyNumberFormat="1" applyFont="1" applyFill="1" applyBorder="1"/>
    <xf numFmtId="0" fontId="0" fillId="0" borderId="1" xfId="0" applyBorder="1"/>
    <xf numFmtId="3" fontId="0" fillId="0" borderId="1" xfId="0" applyNumberFormat="1" applyBorder="1"/>
    <xf numFmtId="0" fontId="0" fillId="3" borderId="1" xfId="0" applyFill="1" applyBorder="1"/>
    <xf numFmtId="165" fontId="13" fillId="3" borderId="0" xfId="1" applyNumberFormat="1" applyFont="1" applyFill="1" applyBorder="1"/>
    <xf numFmtId="165" fontId="6" fillId="3" borderId="0" xfId="1" applyNumberFormat="1" applyFont="1" applyFill="1" applyBorder="1" applyAlignment="1" applyProtection="1"/>
    <xf numFmtId="0" fontId="0" fillId="3" borderId="0" xfId="0" applyFill="1"/>
    <xf numFmtId="0" fontId="9" fillId="3" borderId="0" xfId="0" applyFont="1" applyFill="1"/>
    <xf numFmtId="0" fontId="9" fillId="5" borderId="1" xfId="0" applyFont="1" applyFill="1" applyBorder="1"/>
    <xf numFmtId="3" fontId="9" fillId="5" borderId="1" xfId="0" applyNumberFormat="1" applyFont="1" applyFill="1" applyBorder="1"/>
    <xf numFmtId="0" fontId="9" fillId="6" borderId="1" xfId="0" applyFont="1" applyFill="1" applyBorder="1"/>
    <xf numFmtId="3" fontId="9" fillId="6" borderId="1" xfId="0" applyNumberFormat="1" applyFont="1" applyFill="1" applyBorder="1"/>
    <xf numFmtId="0" fontId="9" fillId="10" borderId="1" xfId="0" applyFont="1" applyFill="1" applyBorder="1"/>
    <xf numFmtId="3" fontId="9" fillId="10" borderId="1" xfId="0" applyNumberFormat="1" applyFont="1" applyFill="1" applyBorder="1"/>
    <xf numFmtId="3" fontId="4" fillId="2" borderId="0" xfId="1" applyNumberFormat="1" applyFont="1" applyFill="1" applyBorder="1" applyAlignment="1">
      <alignment vertical="center"/>
    </xf>
    <xf numFmtId="3" fontId="3" fillId="9" borderId="0" xfId="1" applyNumberFormat="1" applyFont="1" applyFill="1" applyBorder="1" applyAlignment="1">
      <alignment vertical="center"/>
    </xf>
    <xf numFmtId="165" fontId="3" fillId="9" borderId="0" xfId="1" applyNumberFormat="1" applyFont="1" applyFill="1" applyBorder="1" applyAlignment="1">
      <alignment vertical="center"/>
    </xf>
    <xf numFmtId="3" fontId="3" fillId="4" borderId="0" xfId="1" applyNumberFormat="1" applyFont="1" applyFill="1" applyBorder="1" applyAlignment="1">
      <alignment vertical="center"/>
    </xf>
    <xf numFmtId="0" fontId="9" fillId="11" borderId="1" xfId="0" applyFont="1" applyFill="1" applyBorder="1"/>
    <xf numFmtId="3" fontId="0" fillId="11" borderId="1" xfId="0" applyNumberFormat="1" applyFill="1" applyBorder="1"/>
    <xf numFmtId="3" fontId="9" fillId="11" borderId="1" xfId="0" applyNumberFormat="1" applyFont="1" applyFill="1" applyBorder="1"/>
    <xf numFmtId="0" fontId="0" fillId="11" borderId="1" xfId="0" applyFill="1" applyBorder="1"/>
    <xf numFmtId="0" fontId="9" fillId="12" borderId="1" xfId="0" applyFont="1" applyFill="1" applyBorder="1" applyAlignment="1">
      <alignment wrapText="1"/>
    </xf>
    <xf numFmtId="3" fontId="0" fillId="12" borderId="1" xfId="0" applyNumberFormat="1" applyFill="1" applyBorder="1"/>
    <xf numFmtId="3" fontId="9" fillId="12" borderId="1" xfId="0" applyNumberFormat="1" applyFont="1" applyFill="1" applyBorder="1"/>
    <xf numFmtId="0" fontId="0" fillId="12" borderId="1" xfId="0" applyFill="1" applyBorder="1"/>
    <xf numFmtId="0" fontId="9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9" fillId="10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 wrapText="1"/>
    </xf>
    <xf numFmtId="3" fontId="0" fillId="5" borderId="1" xfId="0" applyNumberFormat="1" applyFill="1" applyBorder="1"/>
    <xf numFmtId="0" fontId="9" fillId="5" borderId="1" xfId="0" applyFont="1" applyFill="1" applyBorder="1" applyAlignment="1">
      <alignment horizontal="center" vertical="center" wrapText="1"/>
    </xf>
    <xf numFmtId="3" fontId="0" fillId="13" borderId="1" xfId="0" applyNumberFormat="1" applyFill="1" applyBorder="1"/>
    <xf numFmtId="9" fontId="9" fillId="13" borderId="1" xfId="0" applyNumberFormat="1" applyFont="1" applyFill="1" applyBorder="1"/>
    <xf numFmtId="0" fontId="9" fillId="14" borderId="1" xfId="0" applyFont="1" applyFill="1" applyBorder="1" applyAlignment="1">
      <alignment horizontal="center" wrapText="1"/>
    </xf>
    <xf numFmtId="0" fontId="9" fillId="14" borderId="1" xfId="0" applyFont="1" applyFill="1" applyBorder="1" applyAlignment="1">
      <alignment horizontal="center" vertical="center" wrapText="1"/>
    </xf>
    <xf numFmtId="3" fontId="0" fillId="3" borderId="1" xfId="0" applyNumberFormat="1" applyFill="1" applyBorder="1" applyAlignment="1">
      <alignment horizontal="center"/>
    </xf>
    <xf numFmtId="9" fontId="0" fillId="6" borderId="1" xfId="0" applyNumberForma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9" fontId="0" fillId="9" borderId="1" xfId="0" applyNumberFormat="1" applyFill="1" applyBorder="1" applyAlignment="1">
      <alignment horizontal="center"/>
    </xf>
    <xf numFmtId="3" fontId="0" fillId="9" borderId="1" xfId="0" applyNumberFormat="1" applyFill="1" applyBorder="1" applyAlignment="1">
      <alignment horizontal="center"/>
    </xf>
    <xf numFmtId="3" fontId="0" fillId="14" borderId="1" xfId="0" applyNumberFormat="1" applyFill="1" applyBorder="1" applyAlignment="1">
      <alignment horizontal="center"/>
    </xf>
    <xf numFmtId="9" fontId="0" fillId="10" borderId="1" xfId="0" applyNumberFormat="1" applyFill="1" applyBorder="1" applyAlignment="1">
      <alignment horizontal="center"/>
    </xf>
    <xf numFmtId="3" fontId="9" fillId="0" borderId="1" xfId="0" applyNumberFormat="1" applyFont="1" applyBorder="1" applyAlignment="1">
      <alignment horizontal="center"/>
    </xf>
    <xf numFmtId="3" fontId="9" fillId="3" borderId="1" xfId="0" applyNumberFormat="1" applyFont="1" applyFill="1" applyBorder="1" applyAlignment="1">
      <alignment horizontal="center"/>
    </xf>
    <xf numFmtId="3" fontId="9" fillId="9" borderId="1" xfId="0" applyNumberFormat="1" applyFont="1" applyFill="1" applyBorder="1" applyAlignment="1">
      <alignment horizontal="center"/>
    </xf>
    <xf numFmtId="3" fontId="9" fillId="6" borderId="1" xfId="0" applyNumberFormat="1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0" fillId="4" borderId="1" xfId="0" applyFill="1" applyBorder="1"/>
    <xf numFmtId="0" fontId="9" fillId="13" borderId="1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0" fillId="2" borderId="0" xfId="0" applyFill="1"/>
    <xf numFmtId="3" fontId="0" fillId="2" borderId="0" xfId="0" applyNumberFormat="1" applyFill="1" applyAlignment="1">
      <alignment horizontal="center"/>
    </xf>
    <xf numFmtId="9" fontId="0" fillId="2" borderId="0" xfId="0" applyNumberFormat="1" applyFill="1" applyAlignment="1">
      <alignment horizontal="center"/>
    </xf>
    <xf numFmtId="3" fontId="0" fillId="2" borderId="0" xfId="0" applyNumberFormat="1" applyFill="1"/>
    <xf numFmtId="9" fontId="9" fillId="2" borderId="0" xfId="0" applyNumberFormat="1" applyFont="1" applyFill="1"/>
    <xf numFmtId="0" fontId="9" fillId="8" borderId="1" xfId="0" applyFont="1" applyFill="1" applyBorder="1" applyAlignment="1">
      <alignment horizontal="center" vertical="center" wrapText="1"/>
    </xf>
    <xf numFmtId="9" fontId="0" fillId="8" borderId="1" xfId="0" applyNumberFormat="1" applyFill="1" applyBorder="1" applyAlignment="1">
      <alignment horizontal="center"/>
    </xf>
    <xf numFmtId="0" fontId="9" fillId="5" borderId="1" xfId="0" applyFont="1" applyFill="1" applyBorder="1" applyAlignment="1">
      <alignment horizontal="center" vertical="center"/>
    </xf>
    <xf numFmtId="3" fontId="0" fillId="5" borderId="1" xfId="0" applyNumberFormat="1" applyFill="1" applyBorder="1" applyAlignment="1">
      <alignment horizontal="center"/>
    </xf>
    <xf numFmtId="9" fontId="0" fillId="5" borderId="1" xfId="0" applyNumberFormat="1" applyFill="1" applyBorder="1" applyAlignment="1">
      <alignment horizontal="center"/>
    </xf>
    <xf numFmtId="3" fontId="9" fillId="14" borderId="1" xfId="0" applyNumberFormat="1" applyFont="1" applyFill="1" applyBorder="1" applyAlignment="1">
      <alignment horizontal="center"/>
    </xf>
    <xf numFmtId="3" fontId="9" fillId="5" borderId="1" xfId="0" applyNumberFormat="1" applyFont="1" applyFill="1" applyBorder="1" applyAlignment="1">
      <alignment horizontal="center"/>
    </xf>
    <xf numFmtId="0" fontId="17" fillId="0" borderId="0" xfId="0" applyFont="1"/>
    <xf numFmtId="3" fontId="18" fillId="0" borderId="0" xfId="0" applyNumberFormat="1" applyFont="1"/>
    <xf numFmtId="0" fontId="19" fillId="3" borderId="1" xfId="0" applyFont="1" applyFill="1" applyBorder="1"/>
    <xf numFmtId="0" fontId="9" fillId="4" borderId="1" xfId="0" applyFont="1" applyFill="1" applyBorder="1"/>
    <xf numFmtId="3" fontId="9" fillId="4" borderId="1" xfId="0" applyNumberFormat="1" applyFont="1" applyFill="1" applyBorder="1"/>
    <xf numFmtId="3" fontId="3" fillId="2" borderId="0" xfId="1" applyNumberFormat="1" applyFont="1" applyFill="1" applyBorder="1" applyAlignment="1">
      <alignment vertical="center"/>
    </xf>
    <xf numFmtId="3" fontId="4" fillId="5" borderId="0" xfId="1" applyNumberFormat="1" applyFont="1" applyFill="1" applyBorder="1" applyAlignment="1">
      <alignment vertical="center"/>
    </xf>
    <xf numFmtId="0" fontId="9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/>
    </xf>
    <xf numFmtId="9" fontId="0" fillId="7" borderId="1" xfId="0" applyNumberForma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0" fillId="7" borderId="1" xfId="0" applyFill="1" applyBorder="1"/>
    <xf numFmtId="3" fontId="9" fillId="7" borderId="1" xfId="0" applyNumberFormat="1" applyFont="1" applyFill="1" applyBorder="1" applyAlignment="1">
      <alignment horizontal="center"/>
    </xf>
    <xf numFmtId="0" fontId="9" fillId="3" borderId="17" xfId="0" applyFont="1" applyFill="1" applyBorder="1" applyAlignment="1">
      <alignment horizontal="center"/>
    </xf>
    <xf numFmtId="3" fontId="3" fillId="7" borderId="0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10" fontId="3" fillId="4" borderId="0" xfId="4" applyNumberFormat="1" applyFont="1" applyFill="1" applyBorder="1" applyAlignment="1">
      <alignment vertical="center"/>
    </xf>
    <xf numFmtId="165" fontId="3" fillId="5" borderId="0" xfId="1" applyNumberFormat="1" applyFont="1" applyFill="1" applyBorder="1" applyAlignment="1">
      <alignment vertical="center"/>
    </xf>
    <xf numFmtId="3" fontId="3" fillId="5" borderId="0" xfId="1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horizontal="center" wrapText="1"/>
    </xf>
    <xf numFmtId="0" fontId="9" fillId="10" borderId="1" xfId="0" applyFont="1" applyFill="1" applyBorder="1" applyAlignment="1">
      <alignment horizontal="center" wrapText="1"/>
    </xf>
    <xf numFmtId="9" fontId="9" fillId="4" borderId="1" xfId="4" applyFont="1" applyFill="1" applyBorder="1"/>
    <xf numFmtId="9" fontId="9" fillId="10" borderId="1" xfId="4" applyFont="1" applyFill="1" applyBorder="1"/>
    <xf numFmtId="10" fontId="3" fillId="12" borderId="0" xfId="4" applyNumberFormat="1" applyFont="1" applyFill="1" applyBorder="1" applyAlignment="1">
      <alignment vertical="center"/>
    </xf>
    <xf numFmtId="0" fontId="9" fillId="4" borderId="8" xfId="0" applyFont="1" applyFill="1" applyBorder="1" applyAlignment="1">
      <alignment horizontal="center"/>
    </xf>
    <xf numFmtId="0" fontId="9" fillId="10" borderId="21" xfId="0" applyFont="1" applyFill="1" applyBorder="1" applyAlignment="1">
      <alignment horizontal="center"/>
    </xf>
    <xf numFmtId="0" fontId="9" fillId="4" borderId="21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0" fontId="0" fillId="4" borderId="10" xfId="0" applyFill="1" applyBorder="1"/>
    <xf numFmtId="0" fontId="9" fillId="3" borderId="11" xfId="0" applyFont="1" applyFill="1" applyBorder="1" applyAlignment="1">
      <alignment horizontal="center" vertical="center"/>
    </xf>
    <xf numFmtId="0" fontId="9" fillId="13" borderId="2" xfId="0" applyFont="1" applyFill="1" applyBorder="1" applyAlignment="1">
      <alignment horizontal="center" vertical="center" wrapText="1"/>
    </xf>
    <xf numFmtId="0" fontId="0" fillId="3" borderId="11" xfId="0" applyFill="1" applyBorder="1"/>
    <xf numFmtId="9" fontId="9" fillId="13" borderId="2" xfId="0" applyNumberFormat="1" applyFont="1" applyFill="1" applyBorder="1"/>
    <xf numFmtId="0" fontId="0" fillId="3" borderId="12" xfId="0" applyFill="1" applyBorder="1"/>
    <xf numFmtId="9" fontId="0" fillId="10" borderId="13" xfId="0" applyNumberFormat="1" applyFill="1" applyBorder="1" applyAlignment="1">
      <alignment horizontal="center"/>
    </xf>
    <xf numFmtId="9" fontId="0" fillId="6" borderId="13" xfId="0" applyNumberFormat="1" applyFill="1" applyBorder="1" applyAlignment="1">
      <alignment horizontal="center"/>
    </xf>
    <xf numFmtId="9" fontId="0" fillId="9" borderId="13" xfId="0" applyNumberFormat="1" applyFill="1" applyBorder="1" applyAlignment="1">
      <alignment horizontal="center"/>
    </xf>
    <xf numFmtId="9" fontId="9" fillId="13" borderId="19" xfId="0" applyNumberFormat="1" applyFont="1" applyFill="1" applyBorder="1"/>
    <xf numFmtId="165" fontId="3" fillId="6" borderId="0" xfId="1" applyNumberFormat="1" applyFont="1" applyFill="1" applyBorder="1" applyAlignment="1">
      <alignment horizontal="center" vertical="center"/>
    </xf>
    <xf numFmtId="165" fontId="3" fillId="6" borderId="0" xfId="1" applyNumberFormat="1" applyFont="1" applyFill="1" applyBorder="1" applyAlignment="1" applyProtection="1">
      <alignment horizontal="center" vertical="center"/>
    </xf>
    <xf numFmtId="165" fontId="3" fillId="4" borderId="0" xfId="1" applyNumberFormat="1" applyFont="1" applyFill="1" applyBorder="1" applyAlignment="1">
      <alignment vertical="center"/>
    </xf>
    <xf numFmtId="165" fontId="4" fillId="6" borderId="0" xfId="1" applyNumberFormat="1" applyFont="1" applyFill="1" applyBorder="1" applyAlignment="1" applyProtection="1"/>
    <xf numFmtId="3" fontId="3" fillId="6" borderId="0" xfId="1" applyNumberFormat="1" applyFont="1" applyFill="1" applyBorder="1" applyAlignment="1">
      <alignment vertical="center"/>
    </xf>
    <xf numFmtId="10" fontId="3" fillId="6" borderId="0" xfId="4" applyNumberFormat="1" applyFont="1" applyFill="1" applyBorder="1" applyAlignment="1">
      <alignment vertical="center"/>
    </xf>
    <xf numFmtId="10" fontId="3" fillId="8" borderId="0" xfId="4" applyNumberFormat="1" applyFont="1" applyFill="1" applyBorder="1" applyAlignment="1">
      <alignment vertical="center"/>
    </xf>
    <xf numFmtId="0" fontId="9" fillId="15" borderId="1" xfId="0" applyFont="1" applyFill="1" applyBorder="1" applyAlignment="1">
      <alignment horizontal="center" vertical="center" wrapText="1"/>
    </xf>
    <xf numFmtId="3" fontId="9" fillId="15" borderId="1" xfId="0" applyNumberFormat="1" applyFont="1" applyFill="1" applyBorder="1"/>
    <xf numFmtId="3" fontId="3" fillId="5" borderId="0" xfId="1" applyNumberFormat="1" applyFont="1" applyFill="1" applyBorder="1" applyAlignment="1">
      <alignment horizontal="center" vertical="center"/>
    </xf>
    <xf numFmtId="3" fontId="4" fillId="5" borderId="0" xfId="1" applyNumberFormat="1" applyFont="1" applyFill="1" applyBorder="1" applyAlignment="1">
      <alignment horizontal="center" vertical="center"/>
    </xf>
    <xf numFmtId="3" fontId="0" fillId="0" borderId="0" xfId="0" applyNumberFormat="1"/>
    <xf numFmtId="0" fontId="11" fillId="0" borderId="22" xfId="0" applyFont="1" applyBorder="1" applyAlignment="1">
      <alignment vertical="center"/>
    </xf>
    <xf numFmtId="3" fontId="11" fillId="0" borderId="23" xfId="0" applyNumberFormat="1" applyFont="1" applyBorder="1" applyAlignment="1">
      <alignment vertical="center"/>
    </xf>
    <xf numFmtId="165" fontId="4" fillId="2" borderId="0" xfId="1" applyNumberFormat="1" applyFont="1" applyFill="1" applyBorder="1" applyAlignment="1">
      <alignment horizontal="center" vertical="center"/>
    </xf>
    <xf numFmtId="165" fontId="3" fillId="5" borderId="0" xfId="1" applyNumberFormat="1" applyFont="1" applyFill="1" applyBorder="1" applyAlignment="1" applyProtection="1">
      <alignment horizontal="center"/>
    </xf>
    <xf numFmtId="165" fontId="4" fillId="5" borderId="0" xfId="1" applyNumberFormat="1" applyFont="1" applyFill="1" applyBorder="1" applyAlignment="1">
      <alignment horizontal="center" vertical="center"/>
    </xf>
    <xf numFmtId="10" fontId="4" fillId="2" borderId="0" xfId="4" applyNumberFormat="1" applyFont="1" applyFill="1" applyBorder="1" applyAlignment="1">
      <alignment vertical="center"/>
    </xf>
    <xf numFmtId="3" fontId="12" fillId="5" borderId="1" xfId="0" applyNumberFormat="1" applyFont="1" applyFill="1" applyBorder="1" applyAlignment="1">
      <alignment vertical="center"/>
    </xf>
    <xf numFmtId="3" fontId="23" fillId="2" borderId="0" xfId="1" applyNumberFormat="1" applyFont="1" applyFill="1" applyBorder="1" applyAlignment="1">
      <alignment vertical="center"/>
    </xf>
    <xf numFmtId="165" fontId="23" fillId="2" borderId="0" xfId="1" applyNumberFormat="1" applyFont="1" applyFill="1" applyBorder="1" applyAlignment="1" applyProtection="1"/>
    <xf numFmtId="3" fontId="24" fillId="5" borderId="0" xfId="1" applyNumberFormat="1" applyFont="1" applyFill="1" applyBorder="1" applyAlignment="1">
      <alignment vertical="center"/>
    </xf>
    <xf numFmtId="10" fontId="23" fillId="2" borderId="0" xfId="4" applyNumberFormat="1" applyFont="1" applyFill="1" applyBorder="1" applyAlignment="1">
      <alignment vertical="center"/>
    </xf>
    <xf numFmtId="165" fontId="3" fillId="6" borderId="0" xfId="1" applyNumberFormat="1" applyFont="1" applyFill="1" applyBorder="1" applyAlignment="1">
      <alignment vertical="center"/>
    </xf>
    <xf numFmtId="3" fontId="3" fillId="10" borderId="0" xfId="1" applyNumberFormat="1" applyFont="1" applyFill="1" applyBorder="1" applyAlignment="1">
      <alignment vertical="center"/>
    </xf>
    <xf numFmtId="165" fontId="3" fillId="10" borderId="0" xfId="1" applyNumberFormat="1" applyFont="1" applyFill="1" applyBorder="1" applyAlignment="1">
      <alignment vertical="center"/>
    </xf>
    <xf numFmtId="10" fontId="3" fillId="2" borderId="0" xfId="4" applyNumberFormat="1" applyFont="1" applyFill="1" applyBorder="1" applyAlignment="1">
      <alignment vertical="center"/>
    </xf>
    <xf numFmtId="3" fontId="4" fillId="2" borderId="0" xfId="1" applyNumberFormat="1" applyFont="1" applyFill="1" applyBorder="1" applyAlignment="1">
      <alignment horizontal="center" vertical="center"/>
    </xf>
    <xf numFmtId="0" fontId="3" fillId="5" borderId="0" xfId="2" applyFont="1" applyFill="1"/>
    <xf numFmtId="0" fontId="3" fillId="5" borderId="0" xfId="2" applyFont="1" applyFill="1" applyAlignment="1">
      <alignment vertical="center"/>
    </xf>
    <xf numFmtId="3" fontId="3" fillId="2" borderId="0" xfId="2" applyNumberFormat="1" applyFont="1" applyFill="1" applyAlignment="1">
      <alignment vertical="center"/>
    </xf>
    <xf numFmtId="3" fontId="3" fillId="5" borderId="0" xfId="2" applyNumberFormat="1" applyFont="1" applyFill="1" applyAlignment="1">
      <alignment vertical="center"/>
    </xf>
    <xf numFmtId="0" fontId="3" fillId="10" borderId="0" xfId="2" applyFont="1" applyFill="1" applyAlignment="1">
      <alignment vertical="center"/>
    </xf>
    <xf numFmtId="3" fontId="3" fillId="4" borderId="0" xfId="2" applyNumberFormat="1" applyFont="1" applyFill="1" applyAlignment="1">
      <alignment vertical="center"/>
    </xf>
    <xf numFmtId="0" fontId="3" fillId="2" borderId="0" xfId="2" applyFont="1" applyFill="1" applyAlignment="1">
      <alignment vertical="center"/>
    </xf>
    <xf numFmtId="3" fontId="3" fillId="3" borderId="0" xfId="2" applyNumberFormat="1" applyFont="1" applyFill="1" applyAlignment="1">
      <alignment vertical="center"/>
    </xf>
    <xf numFmtId="0" fontId="3" fillId="3" borderId="0" xfId="2" applyFont="1" applyFill="1" applyAlignment="1">
      <alignment vertical="center"/>
    </xf>
    <xf numFmtId="3" fontId="3" fillId="8" borderId="0" xfId="2" applyNumberFormat="1" applyFont="1" applyFill="1" applyAlignment="1">
      <alignment horizontal="right" vertical="center"/>
    </xf>
    <xf numFmtId="17" fontId="6" fillId="2" borderId="0" xfId="2" applyNumberFormat="1" applyFont="1" applyFill="1" applyAlignment="1">
      <alignment horizontal="center" vertical="center"/>
    </xf>
    <xf numFmtId="17" fontId="16" fillId="2" borderId="0" xfId="2" applyNumberFormat="1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5" fontId="13" fillId="2" borderId="0" xfId="0" applyNumberFormat="1" applyFont="1" applyFill="1"/>
    <xf numFmtId="3" fontId="3" fillId="12" borderId="0" xfId="2" applyNumberFormat="1" applyFont="1" applyFill="1" applyAlignment="1">
      <alignment vertical="center"/>
    </xf>
    <xf numFmtId="3" fontId="3" fillId="9" borderId="0" xfId="2" applyNumberFormat="1" applyFont="1" applyFill="1" applyAlignment="1">
      <alignment vertical="center"/>
    </xf>
    <xf numFmtId="0" fontId="14" fillId="2" borderId="0" xfId="0" applyFont="1" applyFill="1"/>
    <xf numFmtId="0" fontId="4" fillId="2" borderId="0" xfId="2" applyFont="1" applyFill="1"/>
    <xf numFmtId="0" fontId="3" fillId="6" borderId="0" xfId="2" applyFont="1" applyFill="1" applyAlignment="1">
      <alignment vertical="center"/>
    </xf>
    <xf numFmtId="0" fontId="15" fillId="2" borderId="0" xfId="0" applyFont="1" applyFill="1"/>
    <xf numFmtId="0" fontId="3" fillId="5" borderId="0" xfId="2" applyFont="1" applyFill="1" applyAlignment="1">
      <alignment horizontal="center" vertical="center"/>
    </xf>
    <xf numFmtId="0" fontId="4" fillId="2" borderId="0" xfId="2" applyFont="1" applyFill="1" applyAlignment="1">
      <alignment vertical="center"/>
    </xf>
    <xf numFmtId="0" fontId="14" fillId="5" borderId="0" xfId="0" applyFont="1" applyFill="1" applyAlignment="1">
      <alignment horizontal="center"/>
    </xf>
    <xf numFmtId="0" fontId="3" fillId="4" borderId="0" xfId="2" applyFont="1" applyFill="1" applyAlignment="1">
      <alignment vertical="center"/>
    </xf>
    <xf numFmtId="3" fontId="14" fillId="2" borderId="0" xfId="0" applyNumberFormat="1" applyFont="1" applyFill="1"/>
    <xf numFmtId="165" fontId="14" fillId="2" borderId="0" xfId="0" applyNumberFormat="1" applyFont="1" applyFill="1"/>
    <xf numFmtId="3" fontId="15" fillId="2" borderId="0" xfId="0" applyNumberFormat="1" applyFont="1" applyFill="1"/>
    <xf numFmtId="0" fontId="3" fillId="12" borderId="0" xfId="2" applyFont="1" applyFill="1" applyAlignment="1">
      <alignment horizontal="left" vertical="center"/>
    </xf>
    <xf numFmtId="3" fontId="3" fillId="5" borderId="0" xfId="2" applyNumberFormat="1" applyFont="1" applyFill="1" applyAlignment="1">
      <alignment horizontal="center" vertical="center"/>
    </xf>
    <xf numFmtId="0" fontId="3" fillId="2" borderId="0" xfId="2" applyFont="1" applyFill="1" applyAlignment="1">
      <alignment horizontal="left" vertical="center"/>
    </xf>
    <xf numFmtId="0" fontId="5" fillId="2" borderId="0" xfId="2" applyFont="1" applyFill="1" applyAlignment="1">
      <alignment horizontal="left" vertical="center"/>
    </xf>
    <xf numFmtId="0" fontId="5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7" borderId="0" xfId="2" applyFont="1" applyFill="1" applyAlignment="1">
      <alignment vertical="center"/>
    </xf>
    <xf numFmtId="0" fontId="3" fillId="9" borderId="0" xfId="2" applyFont="1" applyFill="1" applyAlignment="1">
      <alignment vertical="center"/>
    </xf>
    <xf numFmtId="0" fontId="15" fillId="4" borderId="0" xfId="0" applyFont="1" applyFill="1"/>
    <xf numFmtId="0" fontId="15" fillId="5" borderId="0" xfId="0" applyFont="1" applyFill="1"/>
    <xf numFmtId="0" fontId="3" fillId="8" borderId="0" xfId="2" applyFont="1" applyFill="1" applyAlignment="1">
      <alignment vertical="center"/>
    </xf>
    <xf numFmtId="165" fontId="0" fillId="0" borderId="0" xfId="0" applyNumberFormat="1"/>
    <xf numFmtId="0" fontId="22" fillId="2" borderId="0" xfId="2" applyFont="1" applyFill="1" applyAlignment="1">
      <alignment horizontal="left" vertical="center"/>
    </xf>
    <xf numFmtId="0" fontId="22" fillId="2" borderId="0" xfId="2" applyFont="1" applyFill="1" applyAlignment="1">
      <alignment vertical="center"/>
    </xf>
    <xf numFmtId="0" fontId="23" fillId="2" borderId="0" xfId="2" applyFont="1" applyFill="1" applyAlignment="1">
      <alignment vertical="center"/>
    </xf>
    <xf numFmtId="0" fontId="25" fillId="2" borderId="0" xfId="0" applyFont="1" applyFill="1"/>
    <xf numFmtId="0" fontId="20" fillId="6" borderId="0" xfId="2" applyFont="1" applyFill="1" applyAlignment="1">
      <alignment vertical="center"/>
    </xf>
    <xf numFmtId="167" fontId="0" fillId="0" borderId="0" xfId="0" applyNumberFormat="1"/>
    <xf numFmtId="0" fontId="10" fillId="2" borderId="0" xfId="0" applyFont="1" applyFill="1"/>
    <xf numFmtId="17" fontId="6" fillId="2" borderId="0" xfId="2" applyNumberFormat="1" applyFont="1" applyFill="1" applyAlignment="1">
      <alignment vertical="center"/>
    </xf>
    <xf numFmtId="0" fontId="6" fillId="2" borderId="0" xfId="2" applyFont="1" applyFill="1" applyAlignment="1">
      <alignment vertical="center"/>
    </xf>
    <xf numFmtId="165" fontId="10" fillId="2" borderId="0" xfId="0" applyNumberFormat="1" applyFont="1" applyFill="1"/>
    <xf numFmtId="0" fontId="7" fillId="2" borderId="0" xfId="2" applyFont="1" applyFill="1" applyAlignment="1">
      <alignment vertical="center"/>
    </xf>
    <xf numFmtId="0" fontId="6" fillId="3" borderId="0" xfId="2" applyFont="1" applyFill="1" applyAlignment="1">
      <alignment vertical="center"/>
    </xf>
    <xf numFmtId="0" fontId="13" fillId="2" borderId="0" xfId="0" applyFont="1" applyFill="1"/>
    <xf numFmtId="0" fontId="9" fillId="17" borderId="1" xfId="0" applyFont="1" applyFill="1" applyBorder="1" applyAlignment="1">
      <alignment horizontal="center" vertical="center"/>
    </xf>
    <xf numFmtId="0" fontId="9" fillId="17" borderId="1" xfId="0" applyFont="1" applyFill="1" applyBorder="1" applyAlignment="1">
      <alignment horizontal="center" vertical="center" wrapText="1"/>
    </xf>
    <xf numFmtId="9" fontId="0" fillId="17" borderId="1" xfId="0" applyNumberFormat="1" applyFill="1" applyBorder="1" applyAlignment="1">
      <alignment horizontal="center"/>
    </xf>
    <xf numFmtId="3" fontId="0" fillId="17" borderId="1" xfId="0" applyNumberFormat="1" applyFill="1" applyBorder="1" applyAlignment="1">
      <alignment horizontal="center"/>
    </xf>
    <xf numFmtId="0" fontId="0" fillId="17" borderId="1" xfId="0" applyFill="1" applyBorder="1"/>
    <xf numFmtId="3" fontId="9" fillId="17" borderId="1" xfId="0" applyNumberFormat="1" applyFont="1" applyFill="1" applyBorder="1" applyAlignment="1">
      <alignment horizontal="center"/>
    </xf>
    <xf numFmtId="0" fontId="9" fillId="15" borderId="1" xfId="0" applyFont="1" applyFill="1" applyBorder="1" applyAlignment="1">
      <alignment horizontal="center" vertical="center"/>
    </xf>
    <xf numFmtId="9" fontId="0" fillId="15" borderId="1" xfId="0" applyNumberFormat="1" applyFill="1" applyBorder="1" applyAlignment="1">
      <alignment horizontal="center"/>
    </xf>
    <xf numFmtId="3" fontId="0" fillId="15" borderId="1" xfId="0" applyNumberFormat="1" applyFill="1" applyBorder="1" applyAlignment="1">
      <alignment horizontal="center"/>
    </xf>
    <xf numFmtId="0" fontId="0" fillId="15" borderId="1" xfId="0" applyFill="1" applyBorder="1"/>
    <xf numFmtId="3" fontId="9" fillId="15" borderId="1" xfId="0" applyNumberFormat="1" applyFont="1" applyFill="1" applyBorder="1" applyAlignment="1">
      <alignment horizontal="center"/>
    </xf>
    <xf numFmtId="3" fontId="9" fillId="3" borderId="1" xfId="0" applyNumberFormat="1" applyFont="1" applyFill="1" applyBorder="1" applyAlignment="1">
      <alignment horizontal="center" vertical="center" wrapText="1"/>
    </xf>
    <xf numFmtId="0" fontId="9" fillId="17" borderId="1" xfId="0" applyFont="1" applyFill="1" applyBorder="1" applyAlignment="1">
      <alignment horizontal="center"/>
    </xf>
    <xf numFmtId="0" fontId="9" fillId="15" borderId="1" xfId="0" applyFont="1" applyFill="1" applyBorder="1" applyAlignment="1">
      <alignment horizontal="center"/>
    </xf>
    <xf numFmtId="10" fontId="0" fillId="0" borderId="0" xfId="0" applyNumberFormat="1"/>
    <xf numFmtId="0" fontId="3" fillId="6" borderId="1" xfId="2" applyFont="1" applyFill="1" applyBorder="1" applyAlignment="1">
      <alignment vertical="center"/>
    </xf>
    <xf numFmtId="165" fontId="3" fillId="6" borderId="1" xfId="1" applyNumberFormat="1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 applyProtection="1">
      <alignment horizontal="center" vertical="center"/>
    </xf>
    <xf numFmtId="0" fontId="3" fillId="5" borderId="1" xfId="2" applyFont="1" applyFill="1" applyBorder="1"/>
    <xf numFmtId="0" fontId="3" fillId="5" borderId="1" xfId="2" applyFont="1" applyFill="1" applyBorder="1" applyAlignment="1">
      <alignment vertical="center"/>
    </xf>
    <xf numFmtId="0" fontId="4" fillId="2" borderId="1" xfId="2" applyFont="1" applyFill="1" applyBorder="1" applyAlignment="1">
      <alignment vertical="center"/>
    </xf>
    <xf numFmtId="165" fontId="4" fillId="2" borderId="1" xfId="1" applyNumberFormat="1" applyFont="1" applyFill="1" applyBorder="1" applyAlignment="1">
      <alignment vertical="center"/>
    </xf>
    <xf numFmtId="165" fontId="3" fillId="5" borderId="1" xfId="1" applyNumberFormat="1" applyFont="1" applyFill="1" applyBorder="1" applyAlignment="1">
      <alignment vertical="center"/>
    </xf>
    <xf numFmtId="0" fontId="3" fillId="4" borderId="1" xfId="2" applyFont="1" applyFill="1" applyBorder="1" applyAlignment="1">
      <alignment vertical="center"/>
    </xf>
    <xf numFmtId="3" fontId="3" fillId="4" borderId="1" xfId="1" applyNumberFormat="1" applyFont="1" applyFill="1" applyBorder="1" applyAlignment="1">
      <alignment vertical="center"/>
    </xf>
    <xf numFmtId="165" fontId="3" fillId="4" borderId="1" xfId="1" applyNumberFormat="1" applyFont="1" applyFill="1" applyBorder="1" applyAlignment="1">
      <alignment vertical="center"/>
    </xf>
    <xf numFmtId="10" fontId="3" fillId="4" borderId="1" xfId="4" applyNumberFormat="1" applyFont="1" applyFill="1" applyBorder="1" applyAlignment="1">
      <alignment vertical="center"/>
    </xf>
    <xf numFmtId="3" fontId="4" fillId="5" borderId="1" xfId="1" applyNumberFormat="1" applyFont="1" applyFill="1" applyBorder="1" applyAlignment="1">
      <alignment vertical="center"/>
    </xf>
    <xf numFmtId="3" fontId="4" fillId="2" borderId="1" xfId="1" applyNumberFormat="1" applyFont="1" applyFill="1" applyBorder="1" applyAlignment="1">
      <alignment vertical="center"/>
    </xf>
    <xf numFmtId="10" fontId="4" fillId="2" borderId="1" xfId="4" applyNumberFormat="1" applyFont="1" applyFill="1" applyBorder="1" applyAlignment="1">
      <alignment vertical="center"/>
    </xf>
    <xf numFmtId="3" fontId="3" fillId="2" borderId="1" xfId="1" applyNumberFormat="1" applyFont="1" applyFill="1" applyBorder="1" applyAlignment="1">
      <alignment vertical="center"/>
    </xf>
    <xf numFmtId="3" fontId="3" fillId="5" borderId="1" xfId="1" applyNumberFormat="1" applyFont="1" applyFill="1" applyBorder="1" applyAlignment="1">
      <alignment vertical="center"/>
    </xf>
    <xf numFmtId="0" fontId="3" fillId="12" borderId="1" xfId="2" applyFont="1" applyFill="1" applyBorder="1" applyAlignment="1">
      <alignment horizontal="left" vertical="center"/>
    </xf>
    <xf numFmtId="3" fontId="3" fillId="12" borderId="1" xfId="2" applyNumberFormat="1" applyFont="1" applyFill="1" applyBorder="1" applyAlignment="1">
      <alignment vertical="center"/>
    </xf>
    <xf numFmtId="3" fontId="3" fillId="9" borderId="1" xfId="2" applyNumberFormat="1" applyFont="1" applyFill="1" applyBorder="1" applyAlignment="1">
      <alignment vertical="center"/>
    </xf>
    <xf numFmtId="10" fontId="3" fillId="12" borderId="1" xfId="4" applyNumberFormat="1" applyFont="1" applyFill="1" applyBorder="1" applyAlignment="1">
      <alignment vertical="center"/>
    </xf>
    <xf numFmtId="0" fontId="3" fillId="2" borderId="1" xfId="2" applyFont="1" applyFill="1" applyBorder="1" applyAlignment="1">
      <alignment horizontal="left" vertical="center"/>
    </xf>
    <xf numFmtId="3" fontId="3" fillId="2" borderId="1" xfId="2" applyNumberFormat="1" applyFont="1" applyFill="1" applyBorder="1" applyAlignment="1">
      <alignment vertical="center"/>
    </xf>
    <xf numFmtId="3" fontId="3" fillId="5" borderId="1" xfId="2" applyNumberFormat="1" applyFont="1" applyFill="1" applyBorder="1" applyAlignment="1">
      <alignment vertical="center"/>
    </xf>
    <xf numFmtId="0" fontId="3" fillId="10" borderId="1" xfId="2" applyFont="1" applyFill="1" applyBorder="1" applyAlignment="1">
      <alignment vertical="center"/>
    </xf>
    <xf numFmtId="0" fontId="3" fillId="16" borderId="1" xfId="2" applyFont="1" applyFill="1" applyBorder="1" applyAlignment="1">
      <alignment vertical="center"/>
    </xf>
    <xf numFmtId="3" fontId="3" fillId="16" borderId="1" xfId="1" applyNumberFormat="1" applyFont="1" applyFill="1" applyBorder="1" applyAlignment="1">
      <alignment vertical="center"/>
    </xf>
    <xf numFmtId="10" fontId="3" fillId="16" borderId="1" xfId="4" applyNumberFormat="1" applyFont="1" applyFill="1" applyBorder="1" applyAlignment="1">
      <alignment vertical="center"/>
    </xf>
    <xf numFmtId="165" fontId="4" fillId="6" borderId="1" xfId="1" applyNumberFormat="1" applyFont="1" applyFill="1" applyBorder="1" applyAlignment="1" applyProtection="1"/>
    <xf numFmtId="165" fontId="4" fillId="16" borderId="1" xfId="1" applyNumberFormat="1" applyFont="1" applyFill="1" applyBorder="1" applyAlignment="1" applyProtection="1"/>
    <xf numFmtId="0" fontId="15" fillId="4" borderId="1" xfId="0" applyFont="1" applyFill="1" applyBorder="1"/>
    <xf numFmtId="0" fontId="15" fillId="2" borderId="1" xfId="0" applyFont="1" applyFill="1" applyBorder="1"/>
    <xf numFmtId="3" fontId="24" fillId="2" borderId="1" xfId="1" applyNumberFormat="1" applyFont="1" applyFill="1" applyBorder="1" applyAlignment="1">
      <alignment vertical="center"/>
    </xf>
    <xf numFmtId="10" fontId="24" fillId="2" borderId="1" xfId="4" applyNumberFormat="1" applyFont="1" applyFill="1" applyBorder="1" applyAlignment="1">
      <alignment vertical="center"/>
    </xf>
    <xf numFmtId="3" fontId="3" fillId="10" borderId="1" xfId="1" applyNumberFormat="1" applyFont="1" applyFill="1" applyBorder="1" applyAlignment="1">
      <alignment vertical="center"/>
    </xf>
    <xf numFmtId="165" fontId="3" fillId="10" borderId="1" xfId="1" applyNumberFormat="1" applyFont="1" applyFill="1" applyBorder="1" applyAlignment="1">
      <alignment vertical="center"/>
    </xf>
    <xf numFmtId="0" fontId="14" fillId="10" borderId="1" xfId="0" applyFont="1" applyFill="1" applyBorder="1"/>
    <xf numFmtId="3" fontId="4" fillId="10" borderId="1" xfId="1" applyNumberFormat="1" applyFont="1" applyFill="1" applyBorder="1" applyAlignment="1">
      <alignment vertical="center"/>
    </xf>
    <xf numFmtId="10" fontId="4" fillId="10" borderId="1" xfId="4" applyNumberFormat="1" applyFont="1" applyFill="1" applyBorder="1" applyAlignment="1">
      <alignment vertical="center"/>
    </xf>
    <xf numFmtId="0" fontId="20" fillId="4" borderId="1" xfId="2" applyFont="1" applyFill="1" applyBorder="1" applyAlignment="1">
      <alignment vertical="center"/>
    </xf>
    <xf numFmtId="0" fontId="3" fillId="2" borderId="1" xfId="2" applyFont="1" applyFill="1" applyBorder="1" applyAlignment="1">
      <alignment vertical="center"/>
    </xf>
    <xf numFmtId="165" fontId="3" fillId="2" borderId="1" xfId="1" applyNumberFormat="1" applyFont="1" applyFill="1" applyBorder="1" applyAlignment="1">
      <alignment vertical="center"/>
    </xf>
    <xf numFmtId="10" fontId="3" fillId="2" borderId="1" xfId="4" applyNumberFormat="1" applyFont="1" applyFill="1" applyBorder="1" applyAlignment="1">
      <alignment vertical="center"/>
    </xf>
    <xf numFmtId="0" fontId="3" fillId="9" borderId="1" xfId="2" applyFont="1" applyFill="1" applyBorder="1" applyAlignment="1">
      <alignment vertical="center"/>
    </xf>
    <xf numFmtId="3" fontId="3" fillId="9" borderId="1" xfId="1" applyNumberFormat="1" applyFont="1" applyFill="1" applyBorder="1" applyAlignment="1">
      <alignment vertical="center"/>
    </xf>
    <xf numFmtId="165" fontId="3" fillId="9" borderId="1" xfId="1" applyNumberFormat="1" applyFont="1" applyFill="1" applyBorder="1" applyAlignment="1">
      <alignment vertical="center"/>
    </xf>
    <xf numFmtId="0" fontId="14" fillId="2" borderId="1" xfId="0" applyFont="1" applyFill="1" applyBorder="1"/>
    <xf numFmtId="0" fontId="15" fillId="6" borderId="1" xfId="0" applyFont="1" applyFill="1" applyBorder="1"/>
    <xf numFmtId="3" fontId="3" fillId="6" borderId="1" xfId="1" applyNumberFormat="1" applyFont="1" applyFill="1" applyBorder="1" applyAlignment="1">
      <alignment vertical="center"/>
    </xf>
    <xf numFmtId="10" fontId="3" fillId="6" borderId="1" xfId="4" applyNumberFormat="1" applyFont="1" applyFill="1" applyBorder="1" applyAlignment="1">
      <alignment vertical="center"/>
    </xf>
    <xf numFmtId="0" fontId="15" fillId="13" borderId="1" xfId="0" applyFont="1" applyFill="1" applyBorder="1"/>
    <xf numFmtId="3" fontId="3" fillId="13" borderId="1" xfId="1" applyNumberFormat="1" applyFont="1" applyFill="1" applyBorder="1" applyAlignment="1">
      <alignment vertical="center"/>
    </xf>
    <xf numFmtId="10" fontId="3" fillId="13" borderId="1" xfId="4" applyNumberFormat="1" applyFont="1" applyFill="1" applyBorder="1" applyAlignment="1">
      <alignment vertical="center"/>
    </xf>
    <xf numFmtId="0" fontId="3" fillId="9" borderId="1" xfId="2" applyFont="1" applyFill="1" applyBorder="1" applyAlignment="1">
      <alignment vertical="center" wrapText="1"/>
    </xf>
    <xf numFmtId="0" fontId="15" fillId="4" borderId="1" xfId="0" applyFont="1" applyFill="1" applyBorder="1" applyAlignment="1">
      <alignment wrapText="1"/>
    </xf>
    <xf numFmtId="0" fontId="15" fillId="6" borderId="1" xfId="0" applyFont="1" applyFill="1" applyBorder="1" applyAlignment="1">
      <alignment wrapText="1"/>
    </xf>
    <xf numFmtId="3" fontId="3" fillId="18" borderId="1" xfId="1" applyNumberFormat="1" applyFont="1" applyFill="1" applyBorder="1" applyAlignment="1"/>
    <xf numFmtId="10" fontId="3" fillId="14" borderId="1" xfId="4" applyNumberFormat="1" applyFont="1" applyFill="1" applyBorder="1" applyAlignment="1"/>
    <xf numFmtId="0" fontId="14" fillId="2" borderId="1" xfId="0" applyFont="1" applyFill="1" applyBorder="1" applyAlignment="1">
      <alignment wrapText="1"/>
    </xf>
    <xf numFmtId="3" fontId="3" fillId="4" borderId="1" xfId="2" applyNumberFormat="1" applyFont="1" applyFill="1" applyBorder="1" applyAlignment="1">
      <alignment vertical="center"/>
    </xf>
    <xf numFmtId="0" fontId="3" fillId="3" borderId="1" xfId="2" applyFont="1" applyFill="1" applyBorder="1" applyAlignment="1">
      <alignment vertical="center"/>
    </xf>
    <xf numFmtId="3" fontId="3" fillId="3" borderId="1" xfId="2" applyNumberFormat="1" applyFont="1" applyFill="1" applyBorder="1" applyAlignment="1">
      <alignment vertical="center"/>
    </xf>
    <xf numFmtId="0" fontId="3" fillId="8" borderId="1" xfId="2" applyFont="1" applyFill="1" applyBorder="1" applyAlignment="1">
      <alignment vertical="center"/>
    </xf>
    <xf numFmtId="3" fontId="3" fillId="8" borderId="1" xfId="2" applyNumberFormat="1" applyFont="1" applyFill="1" applyBorder="1" applyAlignment="1">
      <alignment horizontal="right" vertical="center"/>
    </xf>
    <xf numFmtId="10" fontId="3" fillId="8" borderId="1" xfId="4" applyNumberFormat="1" applyFont="1" applyFill="1" applyBorder="1" applyAlignment="1">
      <alignment vertical="center"/>
    </xf>
    <xf numFmtId="165" fontId="0" fillId="3" borderId="1" xfId="0" applyNumberFormat="1" applyFill="1" applyBorder="1"/>
    <xf numFmtId="3" fontId="0" fillId="3" borderId="1" xfId="0" applyNumberFormat="1" applyFill="1" applyBorder="1"/>
    <xf numFmtId="3" fontId="15" fillId="19" borderId="1" xfId="0" applyNumberFormat="1" applyFont="1" applyFill="1" applyBorder="1"/>
    <xf numFmtId="0" fontId="22" fillId="20" borderId="1" xfId="2" applyFont="1" applyFill="1" applyBorder="1" applyAlignment="1">
      <alignment horizontal="left" vertical="center"/>
    </xf>
    <xf numFmtId="3" fontId="23" fillId="20" borderId="1" xfId="1" applyNumberFormat="1" applyFont="1" applyFill="1" applyBorder="1" applyAlignment="1">
      <alignment vertical="center"/>
    </xf>
    <xf numFmtId="165" fontId="23" fillId="20" borderId="1" xfId="1" applyNumberFormat="1" applyFont="1" applyFill="1" applyBorder="1" applyAlignment="1" applyProtection="1"/>
    <xf numFmtId="3" fontId="24" fillId="20" borderId="1" xfId="1" applyNumberFormat="1" applyFont="1" applyFill="1" applyBorder="1" applyAlignment="1">
      <alignment vertical="center"/>
    </xf>
    <xf numFmtId="10" fontId="4" fillId="20" borderId="1" xfId="4" applyNumberFormat="1" applyFont="1" applyFill="1" applyBorder="1" applyAlignment="1">
      <alignment vertical="center"/>
    </xf>
    <xf numFmtId="0" fontId="22" fillId="20" borderId="1" xfId="2" applyFont="1" applyFill="1" applyBorder="1" applyAlignment="1">
      <alignment vertical="center"/>
    </xf>
    <xf numFmtId="0" fontId="23" fillId="20" borderId="1" xfId="2" applyFont="1" applyFill="1" applyBorder="1" applyAlignment="1">
      <alignment vertical="center"/>
    </xf>
    <xf numFmtId="0" fontId="25" fillId="20" borderId="1" xfId="0" applyFont="1" applyFill="1" applyBorder="1"/>
    <xf numFmtId="0" fontId="15" fillId="21" borderId="1" xfId="0" applyFont="1" applyFill="1" applyBorder="1"/>
    <xf numFmtId="3" fontId="3" fillId="21" borderId="1" xfId="1" applyNumberFormat="1" applyFont="1" applyFill="1" applyBorder="1" applyAlignment="1">
      <alignment vertical="center"/>
    </xf>
    <xf numFmtId="10" fontId="24" fillId="21" borderId="1" xfId="4" applyNumberFormat="1" applyFont="1" applyFill="1" applyBorder="1" applyAlignment="1">
      <alignment vertical="center"/>
    </xf>
    <xf numFmtId="0" fontId="9" fillId="3" borderId="17" xfId="0" applyFont="1" applyFill="1" applyBorder="1" applyAlignment="1">
      <alignment horizontal="center" wrapText="1"/>
    </xf>
    <xf numFmtId="0" fontId="6" fillId="2" borderId="0" xfId="2" applyFont="1" applyFill="1" applyAlignment="1">
      <alignment horizontal="center" vertical="center" wrapText="1"/>
    </xf>
    <xf numFmtId="0" fontId="6" fillId="2" borderId="0" xfId="2" applyFont="1" applyFill="1" applyAlignment="1">
      <alignment horizontal="center" vertical="center"/>
    </xf>
    <xf numFmtId="17" fontId="6" fillId="2" borderId="0" xfId="2" applyNumberFormat="1" applyFont="1" applyFill="1" applyAlignment="1">
      <alignment horizontal="center" vertical="center"/>
    </xf>
    <xf numFmtId="0" fontId="15" fillId="2" borderId="0" xfId="0" applyFont="1" applyFill="1" applyAlignment="1">
      <alignment horizontal="center"/>
    </xf>
    <xf numFmtId="165" fontId="3" fillId="2" borderId="0" xfId="1" applyNumberFormat="1" applyFont="1" applyFill="1" applyBorder="1" applyAlignment="1">
      <alignment horizontal="center" vertical="center"/>
    </xf>
    <xf numFmtId="0" fontId="9" fillId="7" borderId="16" xfId="0" applyFont="1" applyFill="1" applyBorder="1" applyAlignment="1">
      <alignment horizontal="center"/>
    </xf>
    <xf numFmtId="0" fontId="9" fillId="7" borderId="18" xfId="0" applyFont="1" applyFill="1" applyBorder="1" applyAlignment="1">
      <alignment horizontal="center"/>
    </xf>
    <xf numFmtId="0" fontId="9" fillId="4" borderId="16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9" borderId="1" xfId="0" applyFont="1" applyFill="1" applyBorder="1" applyAlignment="1">
      <alignment horizontal="center"/>
    </xf>
    <xf numFmtId="0" fontId="9" fillId="7" borderId="17" xfId="0" applyFont="1" applyFill="1" applyBorder="1" applyAlignment="1">
      <alignment horizontal="center"/>
    </xf>
    <xf numFmtId="0" fontId="9" fillId="6" borderId="16" xfId="0" applyFont="1" applyFill="1" applyBorder="1" applyAlignment="1">
      <alignment horizontal="center"/>
    </xf>
    <xf numFmtId="0" fontId="9" fillId="6" borderId="17" xfId="0" applyFont="1" applyFill="1" applyBorder="1" applyAlignment="1">
      <alignment horizontal="center"/>
    </xf>
    <xf numFmtId="0" fontId="9" fillId="6" borderId="18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10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9" fillId="17" borderId="16" xfId="0" applyFont="1" applyFill="1" applyBorder="1" applyAlignment="1">
      <alignment horizontal="center"/>
    </xf>
    <xf numFmtId="0" fontId="9" fillId="17" borderId="18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9" fillId="5" borderId="0" xfId="0" applyFont="1" applyFill="1" applyAlignment="1">
      <alignment horizontal="center"/>
    </xf>
    <xf numFmtId="0" fontId="9" fillId="3" borderId="20" xfId="0" applyFont="1" applyFill="1" applyBorder="1" applyAlignment="1">
      <alignment horizontal="center"/>
    </xf>
    <xf numFmtId="0" fontId="9" fillId="3" borderId="0" xfId="0" applyFont="1" applyFill="1" applyAlignment="1">
      <alignment horizontal="center"/>
    </xf>
  </cellXfs>
  <cellStyles count="5">
    <cellStyle name="Millares" xfId="1" builtinId="3"/>
    <cellStyle name="Normal" xfId="0" builtinId="0"/>
    <cellStyle name="Normal 2" xfId="2" xr:uid="{00000000-0005-0000-0000-000002000000}"/>
    <cellStyle name="Normal 5" xfId="3" xr:uid="{00000000-0005-0000-0000-000003000000}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3"/>
  <sheetViews>
    <sheetView topLeftCell="A25" zoomScale="98" zoomScaleNormal="98" workbookViewId="0">
      <selection activeCell="D47" sqref="D47"/>
    </sheetView>
  </sheetViews>
  <sheetFormatPr baseColWidth="10" defaultColWidth="11.42578125" defaultRowHeight="12.75" x14ac:dyDescent="0.2"/>
  <cols>
    <col min="1" max="1" width="4.42578125" style="224" customWidth="1"/>
    <col min="2" max="2" width="48.7109375" style="224" customWidth="1"/>
    <col min="3" max="3" width="15.7109375" style="224" customWidth="1"/>
    <col min="4" max="4" width="15" style="224" customWidth="1"/>
    <col min="5" max="5" width="13.5703125" style="224" customWidth="1"/>
    <col min="6" max="6" width="15.28515625" style="224" customWidth="1"/>
    <col min="7" max="7" width="11.85546875" style="224" bestFit="1" customWidth="1"/>
    <col min="8" max="16384" width="11.42578125" style="224"/>
  </cols>
  <sheetData>
    <row r="1" spans="2:7" ht="20.25" customHeight="1" x14ac:dyDescent="0.2">
      <c r="B1" s="326" t="s">
        <v>78</v>
      </c>
      <c r="C1" s="326"/>
      <c r="D1" s="326"/>
      <c r="E1" s="326"/>
    </row>
    <row r="2" spans="2:7" ht="14.25" customHeight="1" x14ac:dyDescent="0.2">
      <c r="B2" s="327" t="s">
        <v>91</v>
      </c>
      <c r="C2" s="327"/>
      <c r="D2" s="327"/>
      <c r="E2" s="327"/>
    </row>
    <row r="3" spans="2:7" ht="13.5" customHeight="1" x14ac:dyDescent="0.2">
      <c r="B3" s="327" t="s">
        <v>118</v>
      </c>
      <c r="C3" s="327"/>
      <c r="D3" s="327"/>
      <c r="E3" s="327"/>
    </row>
    <row r="4" spans="2:7" ht="13.5" customHeight="1" x14ac:dyDescent="0.2">
      <c r="B4" s="328" t="s">
        <v>353</v>
      </c>
      <c r="C4" s="328"/>
      <c r="D4" s="328"/>
      <c r="E4" s="328"/>
    </row>
    <row r="5" spans="2:7" ht="8.25" customHeight="1" x14ac:dyDescent="0.2">
      <c r="B5" s="191"/>
      <c r="C5" s="191"/>
      <c r="D5" s="191"/>
    </row>
    <row r="6" spans="2:7" x14ac:dyDescent="0.2">
      <c r="B6" s="225"/>
      <c r="C6" s="189">
        <v>45597</v>
      </c>
      <c r="D6" s="189">
        <v>45627</v>
      </c>
      <c r="E6" s="189" t="s">
        <v>286</v>
      </c>
    </row>
    <row r="7" spans="2:7" x14ac:dyDescent="0.2">
      <c r="B7" s="225"/>
      <c r="C7" s="190"/>
      <c r="D7" s="190"/>
    </row>
    <row r="8" spans="2:7" x14ac:dyDescent="0.2">
      <c r="B8" s="226" t="s">
        <v>11</v>
      </c>
      <c r="C8" s="192"/>
      <c r="D8" s="192"/>
      <c r="E8" s="227"/>
      <c r="F8" s="227"/>
      <c r="G8" s="227"/>
    </row>
    <row r="9" spans="2:7" ht="5.45" customHeight="1" x14ac:dyDescent="0.2">
      <c r="B9" s="226"/>
      <c r="C9" s="192"/>
      <c r="D9" s="192"/>
    </row>
    <row r="10" spans="2:7" x14ac:dyDescent="0.2">
      <c r="B10" s="226" t="s">
        <v>12</v>
      </c>
      <c r="C10" s="192">
        <v>221339675</v>
      </c>
      <c r="D10" s="192">
        <f>+D11+D12+D13+D14+D15</f>
        <v>173959013</v>
      </c>
      <c r="E10" s="192">
        <f>+D10-C10</f>
        <v>-47380662</v>
      </c>
    </row>
    <row r="11" spans="2:7" x14ac:dyDescent="0.2">
      <c r="B11" s="228" t="s">
        <v>24</v>
      </c>
      <c r="C11" s="36">
        <v>162202</v>
      </c>
      <c r="D11" s="36">
        <v>158522</v>
      </c>
      <c r="E11" s="227">
        <f t="shared" ref="E11:E49" si="0">+D11-C11</f>
        <v>-3680</v>
      </c>
    </row>
    <row r="12" spans="2:7" x14ac:dyDescent="0.2">
      <c r="B12" s="228" t="s">
        <v>23</v>
      </c>
      <c r="C12" s="37">
        <v>63825715</v>
      </c>
      <c r="D12" s="37">
        <v>43030728</v>
      </c>
      <c r="E12" s="227">
        <f t="shared" si="0"/>
        <v>-20794987</v>
      </c>
    </row>
    <row r="13" spans="2:7" x14ac:dyDescent="0.2">
      <c r="B13" s="228" t="s">
        <v>157</v>
      </c>
      <c r="C13" s="37">
        <v>22798191</v>
      </c>
      <c r="D13" s="37">
        <v>22909610</v>
      </c>
      <c r="E13" s="227">
        <f t="shared" si="0"/>
        <v>111419</v>
      </c>
    </row>
    <row r="14" spans="2:7" x14ac:dyDescent="0.2">
      <c r="B14" s="228" t="s">
        <v>151</v>
      </c>
      <c r="C14" s="37">
        <v>37495763</v>
      </c>
      <c r="D14" s="37">
        <v>10802349</v>
      </c>
      <c r="E14" s="227">
        <f t="shared" si="0"/>
        <v>-26693414</v>
      </c>
    </row>
    <row r="15" spans="2:7" x14ac:dyDescent="0.2">
      <c r="B15" s="228" t="s">
        <v>329</v>
      </c>
      <c r="C15" s="37">
        <v>97057804</v>
      </c>
      <c r="D15" s="37">
        <v>97057804</v>
      </c>
      <c r="E15" s="227">
        <f t="shared" si="0"/>
        <v>0</v>
      </c>
    </row>
    <row r="16" spans="2:7" x14ac:dyDescent="0.2">
      <c r="B16" s="226" t="s">
        <v>153</v>
      </c>
      <c r="C16" s="192">
        <v>0</v>
      </c>
      <c r="D16" s="192">
        <f>+D17</f>
        <v>0</v>
      </c>
      <c r="E16" s="227">
        <f t="shared" si="0"/>
        <v>0</v>
      </c>
    </row>
    <row r="17" spans="2:5" x14ac:dyDescent="0.2">
      <c r="B17" s="228" t="s">
        <v>154</v>
      </c>
      <c r="C17" s="37"/>
      <c r="D17" s="37"/>
      <c r="E17" s="227">
        <f t="shared" si="0"/>
        <v>0</v>
      </c>
    </row>
    <row r="18" spans="2:5" x14ac:dyDescent="0.2">
      <c r="B18" s="226" t="s">
        <v>246</v>
      </c>
      <c r="C18" s="192">
        <v>5029300</v>
      </c>
      <c r="D18" s="192">
        <f>+D19</f>
        <v>0</v>
      </c>
      <c r="E18" s="227">
        <f t="shared" si="0"/>
        <v>-5029300</v>
      </c>
    </row>
    <row r="19" spans="2:5" x14ac:dyDescent="0.2">
      <c r="B19" s="228" t="s">
        <v>245</v>
      </c>
      <c r="C19" s="37">
        <v>5029300</v>
      </c>
      <c r="D19" s="37"/>
      <c r="E19" s="227">
        <f t="shared" si="0"/>
        <v>-5029300</v>
      </c>
    </row>
    <row r="20" spans="2:5" x14ac:dyDescent="0.2">
      <c r="B20" s="226" t="s">
        <v>154</v>
      </c>
      <c r="C20" s="38">
        <v>0</v>
      </c>
      <c r="D20" s="38">
        <f>+D21</f>
        <v>0</v>
      </c>
      <c r="E20" s="192">
        <f t="shared" si="0"/>
        <v>0</v>
      </c>
    </row>
    <row r="21" spans="2:5" x14ac:dyDescent="0.2">
      <c r="B21" s="228" t="s">
        <v>274</v>
      </c>
      <c r="C21" s="37">
        <v>0</v>
      </c>
      <c r="D21" s="37">
        <v>0</v>
      </c>
      <c r="E21" s="227">
        <f t="shared" si="0"/>
        <v>0</v>
      </c>
    </row>
    <row r="22" spans="2:5" x14ac:dyDescent="0.2">
      <c r="B22" s="226" t="s">
        <v>119</v>
      </c>
      <c r="C22" s="192">
        <v>2567906</v>
      </c>
      <c r="D22" s="192">
        <f>+D23</f>
        <v>3504900</v>
      </c>
      <c r="E22" s="192">
        <f t="shared" si="0"/>
        <v>936994</v>
      </c>
    </row>
    <row r="23" spans="2:5" x14ac:dyDescent="0.2">
      <c r="B23" s="228" t="s">
        <v>119</v>
      </c>
      <c r="C23" s="37">
        <v>2567906</v>
      </c>
      <c r="D23" s="37">
        <v>3504900</v>
      </c>
      <c r="E23" s="227">
        <f t="shared" si="0"/>
        <v>936994</v>
      </c>
    </row>
    <row r="24" spans="2:5" x14ac:dyDescent="0.2">
      <c r="B24" s="226" t="s">
        <v>13</v>
      </c>
      <c r="C24" s="38">
        <v>101793841</v>
      </c>
      <c r="D24" s="38">
        <f>+D25</f>
        <v>143534641</v>
      </c>
      <c r="E24" s="192">
        <f t="shared" si="0"/>
        <v>41740800</v>
      </c>
    </row>
    <row r="25" spans="2:5" x14ac:dyDescent="0.2">
      <c r="B25" s="228" t="s">
        <v>14</v>
      </c>
      <c r="C25" s="39">
        <v>101793841</v>
      </c>
      <c r="D25" s="39">
        <v>143534641</v>
      </c>
      <c r="E25" s="227">
        <f t="shared" si="0"/>
        <v>41740800</v>
      </c>
    </row>
    <row r="26" spans="2:5" x14ac:dyDescent="0.2">
      <c r="B26" s="226" t="s">
        <v>15</v>
      </c>
      <c r="C26" s="192">
        <v>1253020999</v>
      </c>
      <c r="D26" s="192">
        <f>+D27+D28+D29+D30+D31+D32</f>
        <v>1252634826</v>
      </c>
      <c r="E26" s="192">
        <f t="shared" si="0"/>
        <v>-386173</v>
      </c>
    </row>
    <row r="27" spans="2:5" x14ac:dyDescent="0.2">
      <c r="B27" s="228" t="s">
        <v>82</v>
      </c>
      <c r="C27" s="36">
        <v>1249397400</v>
      </c>
      <c r="D27" s="36">
        <v>1249397400</v>
      </c>
      <c r="E27" s="227">
        <f t="shared" si="0"/>
        <v>0</v>
      </c>
    </row>
    <row r="28" spans="2:5" x14ac:dyDescent="0.2">
      <c r="B28" s="228" t="s">
        <v>16</v>
      </c>
      <c r="C28" s="36">
        <v>9743859</v>
      </c>
      <c r="D28" s="36">
        <v>9743859</v>
      </c>
      <c r="E28" s="227">
        <f t="shared" si="0"/>
        <v>0</v>
      </c>
    </row>
    <row r="29" spans="2:5" x14ac:dyDescent="0.2">
      <c r="B29" s="228" t="s">
        <v>17</v>
      </c>
      <c r="C29" s="36">
        <v>10825166</v>
      </c>
      <c r="D29" s="36">
        <v>10825166</v>
      </c>
      <c r="E29" s="227">
        <f t="shared" si="0"/>
        <v>0</v>
      </c>
    </row>
    <row r="30" spans="2:5" x14ac:dyDescent="0.2">
      <c r="B30" s="228" t="s">
        <v>83</v>
      </c>
      <c r="C30" s="36">
        <v>19814579</v>
      </c>
      <c r="D30" s="36">
        <v>19814579</v>
      </c>
      <c r="E30" s="227">
        <f t="shared" si="0"/>
        <v>0</v>
      </c>
    </row>
    <row r="31" spans="2:5" x14ac:dyDescent="0.2">
      <c r="B31" s="228" t="s">
        <v>84</v>
      </c>
      <c r="C31" s="39">
        <v>-74431564</v>
      </c>
      <c r="D31" s="39">
        <v>-74431564</v>
      </c>
      <c r="E31" s="227">
        <f t="shared" si="0"/>
        <v>0</v>
      </c>
    </row>
    <row r="32" spans="2:5" x14ac:dyDescent="0.2">
      <c r="B32" s="228" t="s">
        <v>120</v>
      </c>
      <c r="C32" s="39">
        <v>37671559</v>
      </c>
      <c r="D32" s="39">
        <v>37285386</v>
      </c>
      <c r="E32" s="227">
        <f t="shared" si="0"/>
        <v>-386173</v>
      </c>
    </row>
    <row r="33" spans="2:7" x14ac:dyDescent="0.2">
      <c r="B33" s="229" t="s">
        <v>103</v>
      </c>
      <c r="C33" s="47">
        <v>1583751721</v>
      </c>
      <c r="D33" s="47">
        <f>+D10+D18+D20+D22+D24+D26</f>
        <v>1573633380</v>
      </c>
      <c r="E33" s="47">
        <f t="shared" si="0"/>
        <v>-10118341</v>
      </c>
    </row>
    <row r="34" spans="2:7" x14ac:dyDescent="0.2">
      <c r="B34" s="226"/>
      <c r="C34" s="43"/>
      <c r="D34" s="43"/>
      <c r="E34" s="227">
        <f t="shared" si="0"/>
        <v>0</v>
      </c>
    </row>
    <row r="35" spans="2:7" x14ac:dyDescent="0.2">
      <c r="B35" s="226" t="s">
        <v>18</v>
      </c>
      <c r="C35" s="38">
        <v>40484661</v>
      </c>
      <c r="D35" s="38">
        <f>+D36+D37+D38+D39+D40</f>
        <v>55666282</v>
      </c>
      <c r="E35" s="227">
        <f t="shared" si="0"/>
        <v>15181621</v>
      </c>
      <c r="F35" s="227"/>
      <c r="G35" s="227"/>
    </row>
    <row r="36" spans="2:7" x14ac:dyDescent="0.2">
      <c r="B36" s="228" t="s">
        <v>65</v>
      </c>
      <c r="C36" s="37">
        <v>11036627</v>
      </c>
      <c r="D36" s="37">
        <v>26826200</v>
      </c>
      <c r="E36" s="227">
        <f t="shared" si="0"/>
        <v>15789573</v>
      </c>
    </row>
    <row r="37" spans="2:7" x14ac:dyDescent="0.2">
      <c r="B37" s="228" t="s">
        <v>85</v>
      </c>
      <c r="C37" s="37">
        <v>308390</v>
      </c>
      <c r="D37" s="37">
        <v>1785737</v>
      </c>
      <c r="E37" s="227">
        <f t="shared" si="0"/>
        <v>1477347</v>
      </c>
    </row>
    <row r="38" spans="2:7" x14ac:dyDescent="0.2">
      <c r="B38" s="228" t="s">
        <v>27</v>
      </c>
      <c r="C38" s="37">
        <v>3650300</v>
      </c>
      <c r="D38" s="37">
        <v>3650300</v>
      </c>
      <c r="E38" s="227">
        <f t="shared" si="0"/>
        <v>0</v>
      </c>
    </row>
    <row r="39" spans="2:7" x14ac:dyDescent="0.2">
      <c r="B39" s="228" t="s">
        <v>86</v>
      </c>
      <c r="C39" s="37">
        <v>8824527</v>
      </c>
      <c r="D39" s="37">
        <v>17142604</v>
      </c>
      <c r="E39" s="227">
        <f t="shared" si="0"/>
        <v>8318077</v>
      </c>
    </row>
    <row r="40" spans="2:7" x14ac:dyDescent="0.2">
      <c r="B40" s="228" t="s">
        <v>19</v>
      </c>
      <c r="C40" s="37">
        <v>16664817</v>
      </c>
      <c r="D40" s="37">
        <v>6261441</v>
      </c>
      <c r="E40" s="227">
        <f t="shared" si="0"/>
        <v>-10403376</v>
      </c>
    </row>
    <row r="41" spans="2:7" x14ac:dyDescent="0.2">
      <c r="B41" s="229" t="s">
        <v>104</v>
      </c>
      <c r="C41" s="48">
        <v>40484661</v>
      </c>
      <c r="D41" s="48">
        <f>SUM(D36:D40)</f>
        <v>55666282</v>
      </c>
      <c r="E41" s="48">
        <f t="shared" si="0"/>
        <v>15181621</v>
      </c>
    </row>
    <row r="42" spans="2:7" x14ac:dyDescent="0.2">
      <c r="B42" s="226"/>
      <c r="C42" s="38"/>
      <c r="D42" s="38"/>
      <c r="E42" s="227">
        <f t="shared" si="0"/>
        <v>0</v>
      </c>
    </row>
    <row r="43" spans="2:7" x14ac:dyDescent="0.2">
      <c r="B43" s="226" t="s">
        <v>20</v>
      </c>
      <c r="C43" s="38">
        <v>1543267059</v>
      </c>
      <c r="D43" s="38">
        <f>+D44+D45+D46+D47+D48</f>
        <v>1517967097.6260002</v>
      </c>
      <c r="E43" s="227">
        <f t="shared" si="0"/>
        <v>-25299961.373999834</v>
      </c>
      <c r="F43" s="227"/>
      <c r="G43" s="227"/>
    </row>
    <row r="44" spans="2:7" x14ac:dyDescent="0.2">
      <c r="B44" s="228" t="s">
        <v>21</v>
      </c>
      <c r="C44" s="37">
        <v>72000357</v>
      </c>
      <c r="D44" s="37">
        <v>72000357</v>
      </c>
      <c r="E44" s="227">
        <f t="shared" si="0"/>
        <v>0</v>
      </c>
    </row>
    <row r="45" spans="2:7" x14ac:dyDescent="0.2">
      <c r="B45" s="228" t="s">
        <v>87</v>
      </c>
      <c r="C45" s="37">
        <v>53122015</v>
      </c>
      <c r="D45" s="37">
        <v>53122015</v>
      </c>
      <c r="E45" s="227">
        <f t="shared" si="0"/>
        <v>0</v>
      </c>
    </row>
    <row r="46" spans="2:7" x14ac:dyDescent="0.2">
      <c r="B46" s="228" t="s">
        <v>26</v>
      </c>
      <c r="C46" s="37">
        <v>45815755</v>
      </c>
      <c r="D46" s="37">
        <v>0</v>
      </c>
      <c r="E46" s="227">
        <f t="shared" si="0"/>
        <v>-45815755</v>
      </c>
    </row>
    <row r="47" spans="2:7" x14ac:dyDescent="0.2">
      <c r="B47" s="228" t="s">
        <v>88</v>
      </c>
      <c r="C47" s="37">
        <v>70170108</v>
      </c>
      <c r="D47" s="37">
        <f>+'ER INTEGRAL 24'!O170</f>
        <v>90685901.626000166</v>
      </c>
      <c r="E47" s="227">
        <f t="shared" si="0"/>
        <v>20515793.626000166</v>
      </c>
    </row>
    <row r="48" spans="2:7" x14ac:dyDescent="0.2">
      <c r="B48" s="228" t="s">
        <v>89</v>
      </c>
      <c r="C48" s="37">
        <v>1302158824</v>
      </c>
      <c r="D48" s="37">
        <v>1302158824</v>
      </c>
      <c r="E48" s="227">
        <f t="shared" si="0"/>
        <v>0</v>
      </c>
    </row>
    <row r="49" spans="2:6" x14ac:dyDescent="0.2">
      <c r="B49" s="226" t="s">
        <v>105</v>
      </c>
      <c r="C49" s="38">
        <v>1543267059</v>
      </c>
      <c r="D49" s="38">
        <f>SUM(D44:D48)</f>
        <v>1517967097.6260002</v>
      </c>
      <c r="E49" s="227">
        <f t="shared" si="0"/>
        <v>-25299961.373999834</v>
      </c>
    </row>
    <row r="50" spans="2:6" x14ac:dyDescent="0.2">
      <c r="B50" s="226" t="s">
        <v>90</v>
      </c>
      <c r="C50" s="230"/>
      <c r="D50" s="230"/>
    </row>
    <row r="51" spans="2:6" x14ac:dyDescent="0.2">
      <c r="B51" s="226" t="s">
        <v>54</v>
      </c>
      <c r="C51" s="192">
        <v>1583751720</v>
      </c>
      <c r="D51" s="192">
        <f>+D49+D41</f>
        <v>1573633379.6260002</v>
      </c>
      <c r="E51" s="227"/>
    </row>
    <row r="52" spans="2:6" x14ac:dyDescent="0.2">
      <c r="B52" s="226" t="s">
        <v>22</v>
      </c>
      <c r="C52" s="192">
        <v>1583751721</v>
      </c>
      <c r="D52" s="192">
        <f>+D33</f>
        <v>1573633380</v>
      </c>
      <c r="E52" s="227">
        <f>+D51-D52</f>
        <v>-0.37399983406066895</v>
      </c>
      <c r="F52" s="227"/>
    </row>
    <row r="53" spans="2:6" x14ac:dyDescent="0.2">
      <c r="C53" s="227"/>
      <c r="D53" s="227"/>
    </row>
  </sheetData>
  <mergeCells count="4">
    <mergeCell ref="B1:E1"/>
    <mergeCell ref="B2:E2"/>
    <mergeCell ref="B3:E3"/>
    <mergeCell ref="B4:E4"/>
  </mergeCells>
  <pageMargins left="0.25" right="0.25" top="0.75" bottom="0.75" header="0.3" footer="0.3"/>
  <pageSetup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44"/>
  <sheetViews>
    <sheetView topLeftCell="A89" zoomScale="106" zoomScaleNormal="106" workbookViewId="0">
      <selection activeCell="C144" sqref="C144"/>
    </sheetView>
  </sheetViews>
  <sheetFormatPr baseColWidth="10" defaultColWidth="11.42578125" defaultRowHeight="11.25" x14ac:dyDescent="0.2"/>
  <cols>
    <col min="1" max="1" width="48.7109375" style="195" customWidth="1"/>
    <col min="2" max="2" width="9.85546875" style="195" customWidth="1"/>
    <col min="3" max="7" width="11" style="195" customWidth="1"/>
    <col min="8" max="12" width="11" style="195" hidden="1" customWidth="1"/>
    <col min="13" max="13" width="12.28515625" style="195" hidden="1" customWidth="1"/>
    <col min="14" max="14" width="10.7109375" style="195" customWidth="1"/>
    <col min="15" max="15" width="7.85546875" style="195" customWidth="1"/>
    <col min="16" max="16" width="7.140625" style="195" customWidth="1"/>
    <col min="17" max="17" width="22.140625" style="195" customWidth="1"/>
    <col min="18" max="16384" width="11.42578125" style="195"/>
  </cols>
  <sheetData>
    <row r="1" spans="1:17" x14ac:dyDescent="0.2">
      <c r="A1" s="329" t="s">
        <v>77</v>
      </c>
      <c r="B1" s="329"/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</row>
    <row r="2" spans="1:17" x14ac:dyDescent="0.2">
      <c r="A2" s="330" t="s">
        <v>91</v>
      </c>
      <c r="B2" s="330"/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</row>
    <row r="3" spans="1:17" x14ac:dyDescent="0.2">
      <c r="A3" s="330" t="s">
        <v>0</v>
      </c>
      <c r="B3" s="330"/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</row>
    <row r="4" spans="1:17" ht="15.75" customHeight="1" x14ac:dyDescent="0.2">
      <c r="A4" s="330" t="s">
        <v>273</v>
      </c>
      <c r="B4" s="330"/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</row>
    <row r="5" spans="1:17" ht="0.75" customHeight="1" x14ac:dyDescent="0.2">
      <c r="A5" s="196"/>
      <c r="B5" s="40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1"/>
      <c r="O5" s="41"/>
      <c r="P5" s="165"/>
    </row>
    <row r="6" spans="1:17" s="198" customFormat="1" ht="33.75" customHeight="1" x14ac:dyDescent="0.2">
      <c r="A6" s="197"/>
      <c r="B6" s="151" t="s">
        <v>1</v>
      </c>
      <c r="C6" s="151" t="s">
        <v>127</v>
      </c>
      <c r="D6" s="151" t="s">
        <v>128</v>
      </c>
      <c r="E6" s="151" t="s">
        <v>129</v>
      </c>
      <c r="F6" s="151" t="s">
        <v>130</v>
      </c>
      <c r="G6" s="151" t="s">
        <v>131</v>
      </c>
      <c r="H6" s="151" t="s">
        <v>132</v>
      </c>
      <c r="I6" s="151" t="s">
        <v>133</v>
      </c>
      <c r="J6" s="151" t="s">
        <v>134</v>
      </c>
      <c r="K6" s="151" t="s">
        <v>135</v>
      </c>
      <c r="L6" s="151" t="s">
        <v>136</v>
      </c>
      <c r="M6" s="151" t="s">
        <v>137</v>
      </c>
      <c r="N6" s="152" t="s">
        <v>2</v>
      </c>
      <c r="O6" s="152" t="s">
        <v>234</v>
      </c>
      <c r="P6" s="166" t="s">
        <v>38</v>
      </c>
    </row>
    <row r="7" spans="1:17" x14ac:dyDescent="0.2">
      <c r="A7" s="179" t="s">
        <v>33</v>
      </c>
      <c r="B7" s="179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</row>
    <row r="8" spans="1:17" x14ac:dyDescent="0.2">
      <c r="A8" s="180" t="s">
        <v>214</v>
      </c>
      <c r="B8" s="180"/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99">
        <v>3</v>
      </c>
    </row>
    <row r="9" spans="1:17" x14ac:dyDescent="0.2">
      <c r="A9" s="200" t="s">
        <v>3</v>
      </c>
      <c r="B9" s="40">
        <v>73603359</v>
      </c>
      <c r="C9" s="40">
        <v>8892438</v>
      </c>
      <c r="D9" s="40">
        <v>3258823</v>
      </c>
      <c r="E9" s="40">
        <v>5262185</v>
      </c>
      <c r="F9" s="40">
        <v>3824370</v>
      </c>
      <c r="G9" s="40">
        <v>2928571</v>
      </c>
      <c r="H9" s="40"/>
      <c r="I9" s="40"/>
      <c r="J9" s="40"/>
      <c r="K9" s="40"/>
      <c r="L9" s="40"/>
      <c r="M9" s="40"/>
      <c r="N9" s="130">
        <f>SUM(B9:M9)</f>
        <v>97769746</v>
      </c>
      <c r="O9" s="40"/>
      <c r="P9" s="201"/>
    </row>
    <row r="10" spans="1:17" x14ac:dyDescent="0.2">
      <c r="A10" s="200" t="s">
        <v>4</v>
      </c>
      <c r="B10" s="40">
        <v>9226600</v>
      </c>
      <c r="C10" s="40">
        <v>9226600</v>
      </c>
      <c r="D10" s="40">
        <v>9226600</v>
      </c>
      <c r="E10" s="40">
        <v>9226600</v>
      </c>
      <c r="F10" s="40">
        <v>9226600</v>
      </c>
      <c r="G10" s="40">
        <v>9226600</v>
      </c>
      <c r="H10" s="40"/>
      <c r="I10" s="40"/>
      <c r="J10" s="40"/>
      <c r="K10" s="40"/>
      <c r="L10" s="40"/>
      <c r="M10" s="40"/>
      <c r="N10" s="130">
        <f>SUM(B10:M10)</f>
        <v>55359600</v>
      </c>
      <c r="O10" s="40"/>
      <c r="P10" s="201"/>
    </row>
    <row r="11" spans="1:17" s="198" customFormat="1" x14ac:dyDescent="0.2">
      <c r="A11" s="202" t="s">
        <v>215</v>
      </c>
      <c r="B11" s="60">
        <f>+B9+B10</f>
        <v>82829959</v>
      </c>
      <c r="C11" s="60">
        <f t="shared" ref="C11:N11" si="0">SUM(C9:C10)</f>
        <v>18119038</v>
      </c>
      <c r="D11" s="60">
        <f t="shared" si="0"/>
        <v>12485423</v>
      </c>
      <c r="E11" s="60">
        <f t="shared" si="0"/>
        <v>14488785</v>
      </c>
      <c r="F11" s="60">
        <f t="shared" si="0"/>
        <v>13050970</v>
      </c>
      <c r="G11" s="60">
        <f t="shared" si="0"/>
        <v>12155171</v>
      </c>
      <c r="H11" s="60">
        <f t="shared" si="0"/>
        <v>0</v>
      </c>
      <c r="I11" s="60">
        <f t="shared" si="0"/>
        <v>0</v>
      </c>
      <c r="J11" s="60">
        <f t="shared" si="0"/>
        <v>0</v>
      </c>
      <c r="K11" s="60">
        <f t="shared" si="0"/>
        <v>0</v>
      </c>
      <c r="L11" s="60">
        <f t="shared" si="0"/>
        <v>0</v>
      </c>
      <c r="M11" s="60">
        <f t="shared" si="0"/>
        <v>0</v>
      </c>
      <c r="N11" s="153">
        <f t="shared" si="0"/>
        <v>153129346</v>
      </c>
      <c r="O11" s="129">
        <f>+N11/N40</f>
        <v>0.35239608556367885</v>
      </c>
      <c r="P11" s="160"/>
    </row>
    <row r="12" spans="1:17" x14ac:dyDescent="0.2">
      <c r="A12" s="180" t="s">
        <v>31</v>
      </c>
      <c r="B12" s="119"/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80"/>
      <c r="O12" s="180"/>
      <c r="P12" s="199">
        <v>4</v>
      </c>
    </row>
    <row r="13" spans="1:17" x14ac:dyDescent="0.2">
      <c r="A13" s="200" t="s">
        <v>76</v>
      </c>
      <c r="B13" s="57">
        <v>510000</v>
      </c>
      <c r="C13" s="57">
        <v>585000</v>
      </c>
      <c r="D13" s="57">
        <v>595000</v>
      </c>
      <c r="E13" s="57">
        <v>485000</v>
      </c>
      <c r="F13" s="57">
        <v>505000</v>
      </c>
      <c r="G13" s="57">
        <v>515000</v>
      </c>
      <c r="H13" s="57"/>
      <c r="I13" s="57"/>
      <c r="J13" s="57"/>
      <c r="K13" s="57"/>
      <c r="L13" s="57"/>
      <c r="M13" s="57"/>
      <c r="N13" s="130">
        <f>SUM(B13:M13)</f>
        <v>3195000</v>
      </c>
      <c r="O13" s="40"/>
      <c r="P13" s="167"/>
    </row>
    <row r="14" spans="1:17" x14ac:dyDescent="0.2">
      <c r="A14" s="200" t="s">
        <v>102</v>
      </c>
      <c r="B14" s="57"/>
      <c r="C14" s="57">
        <v>180000</v>
      </c>
      <c r="D14" s="57">
        <v>810000</v>
      </c>
      <c r="E14" s="57"/>
      <c r="F14" s="57"/>
      <c r="G14" s="57">
        <v>90000</v>
      </c>
      <c r="H14" s="57"/>
      <c r="I14" s="57"/>
      <c r="J14" s="57"/>
      <c r="K14" s="57"/>
      <c r="L14" s="57"/>
      <c r="M14" s="57"/>
      <c r="N14" s="130">
        <f t="shared" ref="N14:N29" si="1">SUM(B14:M14)</f>
        <v>1080000</v>
      </c>
      <c r="O14" s="40"/>
      <c r="P14" s="167"/>
    </row>
    <row r="15" spans="1:17" x14ac:dyDescent="0.2">
      <c r="A15" s="200" t="s">
        <v>114</v>
      </c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130">
        <f t="shared" si="1"/>
        <v>0</v>
      </c>
      <c r="O15" s="40"/>
      <c r="P15" s="167"/>
      <c r="Q15" s="203"/>
    </row>
    <row r="16" spans="1:17" x14ac:dyDescent="0.2">
      <c r="A16" s="200" t="s">
        <v>293</v>
      </c>
      <c r="B16" s="57"/>
      <c r="C16" s="57"/>
      <c r="D16" s="57"/>
      <c r="E16" s="57"/>
      <c r="F16" s="57"/>
      <c r="G16" s="57">
        <v>1970000</v>
      </c>
      <c r="H16" s="57"/>
      <c r="I16" s="57"/>
      <c r="J16" s="57"/>
      <c r="K16" s="57"/>
      <c r="L16" s="57"/>
      <c r="M16" s="57"/>
      <c r="N16" s="130">
        <f t="shared" si="1"/>
        <v>1970000</v>
      </c>
      <c r="O16" s="40"/>
      <c r="P16" s="167"/>
      <c r="Q16" s="203"/>
    </row>
    <row r="17" spans="1:19" x14ac:dyDescent="0.2">
      <c r="A17" s="200" t="s">
        <v>66</v>
      </c>
      <c r="B17" s="57">
        <v>676500</v>
      </c>
      <c r="C17" s="57"/>
      <c r="D17" s="57">
        <v>738900</v>
      </c>
      <c r="E17" s="57">
        <v>762400</v>
      </c>
      <c r="F17" s="57">
        <v>824800</v>
      </c>
      <c r="G17" s="57">
        <v>594800</v>
      </c>
      <c r="H17" s="57"/>
      <c r="I17" s="57"/>
      <c r="J17" s="57"/>
      <c r="K17" s="57"/>
      <c r="L17" s="57"/>
      <c r="M17" s="57"/>
      <c r="N17" s="130">
        <f t="shared" si="1"/>
        <v>3597400</v>
      </c>
      <c r="O17" s="40"/>
      <c r="P17" s="167"/>
    </row>
    <row r="18" spans="1:19" x14ac:dyDescent="0.2">
      <c r="A18" s="200" t="s">
        <v>258</v>
      </c>
      <c r="B18" s="57">
        <v>3860000</v>
      </c>
      <c r="C18" s="57">
        <v>60000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130">
        <f t="shared" si="1"/>
        <v>3920000</v>
      </c>
      <c r="O18" s="40"/>
      <c r="P18" s="167"/>
    </row>
    <row r="19" spans="1:19" x14ac:dyDescent="0.2">
      <c r="A19" s="200" t="s">
        <v>152</v>
      </c>
      <c r="B19" s="57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130">
        <f t="shared" si="1"/>
        <v>0</v>
      </c>
      <c r="O19" s="40"/>
      <c r="P19" s="167"/>
    </row>
    <row r="20" spans="1:19" x14ac:dyDescent="0.2">
      <c r="A20" s="200" t="s">
        <v>80</v>
      </c>
      <c r="B20" s="57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130">
        <f t="shared" si="1"/>
        <v>0</v>
      </c>
      <c r="O20" s="40"/>
      <c r="P20" s="167"/>
    </row>
    <row r="21" spans="1:19" ht="11.25" customHeight="1" x14ac:dyDescent="0.2">
      <c r="A21" s="200" t="s">
        <v>101</v>
      </c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130">
        <f t="shared" si="1"/>
        <v>0</v>
      </c>
      <c r="O21" s="40"/>
      <c r="P21" s="167"/>
      <c r="Q21" s="203"/>
    </row>
    <row r="22" spans="1:19" ht="11.25" customHeight="1" x14ac:dyDescent="0.2">
      <c r="A22" s="200" t="s">
        <v>248</v>
      </c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130">
        <f t="shared" si="1"/>
        <v>0</v>
      </c>
      <c r="O22" s="40"/>
      <c r="P22" s="167"/>
      <c r="Q22" s="203"/>
    </row>
    <row r="23" spans="1:19" x14ac:dyDescent="0.2">
      <c r="A23" s="200" t="s">
        <v>63</v>
      </c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130">
        <f t="shared" si="1"/>
        <v>0</v>
      </c>
      <c r="O23" s="40"/>
      <c r="P23" s="167"/>
    </row>
    <row r="24" spans="1:19" ht="11.25" customHeight="1" x14ac:dyDescent="0.2">
      <c r="A24" s="200" t="s">
        <v>29</v>
      </c>
      <c r="B24" s="57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130">
        <f t="shared" si="1"/>
        <v>0</v>
      </c>
      <c r="O24" s="40"/>
      <c r="P24" s="167"/>
      <c r="Q24" s="204"/>
    </row>
    <row r="25" spans="1:19" x14ac:dyDescent="0.2">
      <c r="A25" s="200" t="s">
        <v>30</v>
      </c>
      <c r="B25" s="57"/>
      <c r="C25" s="57">
        <v>1025000</v>
      </c>
      <c r="D25" s="57">
        <v>582500</v>
      </c>
      <c r="E25" s="57">
        <v>3508000</v>
      </c>
      <c r="F25" s="57">
        <v>988500</v>
      </c>
      <c r="G25" s="57">
        <v>1342000</v>
      </c>
      <c r="H25" s="57"/>
      <c r="I25" s="57"/>
      <c r="J25" s="57"/>
      <c r="K25" s="57"/>
      <c r="L25" s="57"/>
      <c r="M25" s="57"/>
      <c r="N25" s="130">
        <f t="shared" si="1"/>
        <v>7446000</v>
      </c>
      <c r="O25" s="40"/>
      <c r="P25" s="167"/>
      <c r="Q25" s="204">
        <f>+N15+N19+N20+N21+N22</f>
        <v>0</v>
      </c>
    </row>
    <row r="26" spans="1:19" x14ac:dyDescent="0.2">
      <c r="A26" s="200" t="s">
        <v>107</v>
      </c>
      <c r="B26" s="57">
        <v>732000</v>
      </c>
      <c r="C26" s="57">
        <v>4350000</v>
      </c>
      <c r="D26" s="57">
        <v>2956000</v>
      </c>
      <c r="E26" s="57">
        <v>2911000</v>
      </c>
      <c r="F26" s="57">
        <v>3570000</v>
      </c>
      <c r="G26" s="57">
        <v>3310000</v>
      </c>
      <c r="H26" s="57"/>
      <c r="I26" s="57"/>
      <c r="J26" s="57"/>
      <c r="K26" s="57"/>
      <c r="L26" s="57"/>
      <c r="M26" s="57"/>
      <c r="N26" s="130">
        <f t="shared" si="1"/>
        <v>17829000</v>
      </c>
      <c r="O26" s="40"/>
      <c r="P26" s="167"/>
      <c r="Q26" s="204"/>
      <c r="S26" s="204"/>
    </row>
    <row r="27" spans="1:19" x14ac:dyDescent="0.2">
      <c r="A27" s="200" t="s">
        <v>250</v>
      </c>
      <c r="B27" s="57"/>
      <c r="C27" s="57">
        <v>10557000</v>
      </c>
      <c r="D27" s="57">
        <v>10251000</v>
      </c>
      <c r="E27" s="57">
        <v>10557000</v>
      </c>
      <c r="F27" s="57">
        <v>10404000</v>
      </c>
      <c r="G27" s="57">
        <v>10557000</v>
      </c>
      <c r="H27" s="57"/>
      <c r="I27" s="57"/>
      <c r="J27" s="57"/>
      <c r="K27" s="57"/>
      <c r="L27" s="57"/>
      <c r="M27" s="57"/>
      <c r="N27" s="130">
        <f t="shared" si="1"/>
        <v>52326000</v>
      </c>
      <c r="O27" s="40"/>
      <c r="P27" s="167"/>
    </row>
    <row r="28" spans="1:19" ht="11.25" customHeight="1" x14ac:dyDescent="0.2">
      <c r="A28" s="200" t="s">
        <v>75</v>
      </c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130">
        <f t="shared" si="1"/>
        <v>0</v>
      </c>
      <c r="O28" s="40"/>
      <c r="P28" s="167"/>
    </row>
    <row r="29" spans="1:19" x14ac:dyDescent="0.2">
      <c r="A29" s="200" t="s">
        <v>70</v>
      </c>
      <c r="B29" s="57"/>
      <c r="C29" s="57"/>
      <c r="D29" s="57">
        <v>1500000</v>
      </c>
      <c r="E29" s="57"/>
      <c r="F29" s="57"/>
      <c r="G29" s="57"/>
      <c r="H29" s="57"/>
      <c r="I29" s="57"/>
      <c r="J29" s="57"/>
      <c r="K29" s="57"/>
      <c r="L29" s="57"/>
      <c r="M29" s="57"/>
      <c r="N29" s="130">
        <f t="shared" si="1"/>
        <v>1500000</v>
      </c>
      <c r="O29" s="40"/>
      <c r="P29" s="167"/>
    </row>
    <row r="30" spans="1:19" s="198" customFormat="1" x14ac:dyDescent="0.2">
      <c r="A30" s="202" t="s">
        <v>32</v>
      </c>
      <c r="B30" s="60">
        <f t="shared" ref="B30:M30" si="2">SUM(B13:B29)</f>
        <v>5778500</v>
      </c>
      <c r="C30" s="60">
        <f t="shared" si="2"/>
        <v>16757000</v>
      </c>
      <c r="D30" s="60">
        <f t="shared" si="2"/>
        <v>17433400</v>
      </c>
      <c r="E30" s="60">
        <f t="shared" si="2"/>
        <v>18223400</v>
      </c>
      <c r="F30" s="60">
        <f t="shared" si="2"/>
        <v>16292300</v>
      </c>
      <c r="G30" s="60">
        <f t="shared" si="2"/>
        <v>18378800</v>
      </c>
      <c r="H30" s="60">
        <f t="shared" si="2"/>
        <v>0</v>
      </c>
      <c r="I30" s="60">
        <f t="shared" si="2"/>
        <v>0</v>
      </c>
      <c r="J30" s="60">
        <f t="shared" si="2"/>
        <v>0</v>
      </c>
      <c r="K30" s="60">
        <f t="shared" si="2"/>
        <v>0</v>
      </c>
      <c r="L30" s="60">
        <f t="shared" si="2"/>
        <v>0</v>
      </c>
      <c r="M30" s="60">
        <f t="shared" si="2"/>
        <v>0</v>
      </c>
      <c r="N30" s="60">
        <f>SUM(N13:N29)</f>
        <v>92863400</v>
      </c>
      <c r="O30" s="129">
        <f>+N30/N40</f>
        <v>0.2137062523086472</v>
      </c>
      <c r="P30" s="160"/>
    </row>
    <row r="31" spans="1:19" s="198" customFormat="1" x14ac:dyDescent="0.2">
      <c r="A31" s="180" t="s">
        <v>216</v>
      </c>
      <c r="B31" s="119"/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80"/>
      <c r="O31" s="180"/>
      <c r="P31" s="160">
        <v>5</v>
      </c>
    </row>
    <row r="32" spans="1:19" s="198" customFormat="1" x14ac:dyDescent="0.2">
      <c r="A32" s="200" t="s">
        <v>217</v>
      </c>
      <c r="B32" s="57">
        <v>0</v>
      </c>
      <c r="C32" s="118">
        <v>0</v>
      </c>
      <c r="D32" s="57">
        <v>56667231</v>
      </c>
      <c r="E32" s="57">
        <v>83617208</v>
      </c>
      <c r="F32" s="57">
        <v>4952876</v>
      </c>
      <c r="G32" s="57">
        <v>40774663</v>
      </c>
      <c r="H32" s="57"/>
      <c r="I32" s="57"/>
      <c r="J32" s="57"/>
      <c r="K32" s="57"/>
      <c r="L32" s="57"/>
      <c r="M32" s="57"/>
      <c r="N32" s="130">
        <f>SUM(B32:M32)</f>
        <v>186011978</v>
      </c>
      <c r="O32" s="118"/>
      <c r="P32" s="160"/>
    </row>
    <row r="33" spans="1:17" s="198" customFormat="1" x14ac:dyDescent="0.2">
      <c r="A33" s="202" t="s">
        <v>241</v>
      </c>
      <c r="B33" s="60">
        <f>SUM(B32)</f>
        <v>0</v>
      </c>
      <c r="C33" s="60">
        <f t="shared" ref="C33:M33" si="3">SUM(C32)</f>
        <v>0</v>
      </c>
      <c r="D33" s="60">
        <f t="shared" si="3"/>
        <v>56667231</v>
      </c>
      <c r="E33" s="60">
        <f t="shared" si="3"/>
        <v>83617208</v>
      </c>
      <c r="F33" s="60">
        <f t="shared" si="3"/>
        <v>4952876</v>
      </c>
      <c r="G33" s="60">
        <f t="shared" si="3"/>
        <v>40774663</v>
      </c>
      <c r="H33" s="60">
        <f t="shared" si="3"/>
        <v>0</v>
      </c>
      <c r="I33" s="60">
        <f t="shared" si="3"/>
        <v>0</v>
      </c>
      <c r="J33" s="60">
        <f t="shared" si="3"/>
        <v>0</v>
      </c>
      <c r="K33" s="60">
        <f t="shared" si="3"/>
        <v>0</v>
      </c>
      <c r="L33" s="60">
        <f t="shared" si="3"/>
        <v>0</v>
      </c>
      <c r="M33" s="60">
        <f t="shared" si="3"/>
        <v>0</v>
      </c>
      <c r="N33" s="60">
        <f>SUM(N32)</f>
        <v>186011978</v>
      </c>
      <c r="O33" s="129">
        <f>+N33/N40</f>
        <v>0.42806878385777963</v>
      </c>
      <c r="P33" s="160"/>
    </row>
    <row r="34" spans="1:17" x14ac:dyDescent="0.2">
      <c r="A34" s="180" t="s">
        <v>218</v>
      </c>
      <c r="B34" s="119"/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80"/>
      <c r="O34" s="180"/>
      <c r="P34" s="199">
        <v>6</v>
      </c>
    </row>
    <row r="35" spans="1:17" x14ac:dyDescent="0.2">
      <c r="A35" s="200" t="s">
        <v>5</v>
      </c>
      <c r="B35" s="57">
        <v>649746</v>
      </c>
      <c r="C35" s="57">
        <v>686175</v>
      </c>
      <c r="D35" s="57">
        <v>546968</v>
      </c>
      <c r="E35" s="57">
        <v>147452</v>
      </c>
      <c r="F35" s="57">
        <v>160593</v>
      </c>
      <c r="G35" s="57">
        <v>231923</v>
      </c>
      <c r="H35" s="57"/>
      <c r="I35" s="57"/>
      <c r="J35" s="57"/>
      <c r="K35" s="57"/>
      <c r="L35" s="57"/>
      <c r="M35" s="57"/>
      <c r="N35" s="131">
        <f>SUM(B35:M35)</f>
        <v>2422857</v>
      </c>
      <c r="O35" s="57"/>
      <c r="P35" s="161"/>
    </row>
    <row r="36" spans="1:17" x14ac:dyDescent="0.2">
      <c r="A36" s="200" t="s">
        <v>53</v>
      </c>
      <c r="B36" s="57"/>
      <c r="C36" s="57"/>
      <c r="D36" s="57"/>
      <c r="E36" s="57">
        <v>2000</v>
      </c>
      <c r="F36" s="57"/>
      <c r="G36" s="57"/>
      <c r="H36" s="57"/>
      <c r="I36" s="57"/>
      <c r="J36" s="57"/>
      <c r="K36" s="57"/>
      <c r="L36" s="57"/>
      <c r="M36" s="57"/>
      <c r="N36" s="131">
        <f t="shared" ref="N36:N38" si="4">SUM(B36:M36)</f>
        <v>2000</v>
      </c>
      <c r="O36" s="57"/>
      <c r="P36" s="161"/>
    </row>
    <row r="37" spans="1:17" x14ac:dyDescent="0.2">
      <c r="A37" s="200" t="s">
        <v>113</v>
      </c>
      <c r="B37" s="57"/>
      <c r="C37" s="57"/>
      <c r="D37" s="57"/>
      <c r="E37" s="57">
        <v>108000</v>
      </c>
      <c r="F37" s="57"/>
      <c r="G37" s="57"/>
      <c r="H37" s="57"/>
      <c r="I37" s="57"/>
      <c r="J37" s="57"/>
      <c r="K37" s="57"/>
      <c r="L37" s="57"/>
      <c r="M37" s="57"/>
      <c r="N37" s="131">
        <f t="shared" si="4"/>
        <v>108000</v>
      </c>
      <c r="O37" s="57"/>
      <c r="P37" s="161"/>
    </row>
    <row r="38" spans="1:17" x14ac:dyDescent="0.2">
      <c r="A38" s="200" t="s">
        <v>219</v>
      </c>
      <c r="B38" s="57"/>
      <c r="C38" s="57">
        <v>0.72</v>
      </c>
      <c r="D38" s="57">
        <v>9</v>
      </c>
      <c r="E38" s="57"/>
      <c r="F38" s="57"/>
      <c r="G38" s="57"/>
      <c r="H38" s="57"/>
      <c r="I38" s="57"/>
      <c r="J38" s="57"/>
      <c r="K38" s="57"/>
      <c r="L38" s="57"/>
      <c r="M38" s="57"/>
      <c r="N38" s="131">
        <f t="shared" si="4"/>
        <v>9.7200000000000006</v>
      </c>
      <c r="O38" s="57"/>
      <c r="P38" s="161"/>
    </row>
    <row r="39" spans="1:17" s="198" customFormat="1" x14ac:dyDescent="0.2">
      <c r="A39" s="202" t="s">
        <v>25</v>
      </c>
      <c r="B39" s="60">
        <f t="shared" ref="B39:M39" si="5">SUM(B35:B38)</f>
        <v>649746</v>
      </c>
      <c r="C39" s="60">
        <f t="shared" si="5"/>
        <v>686175.72</v>
      </c>
      <c r="D39" s="60">
        <f t="shared" si="5"/>
        <v>546977</v>
      </c>
      <c r="E39" s="60">
        <f t="shared" si="5"/>
        <v>257452</v>
      </c>
      <c r="F39" s="60">
        <f t="shared" si="5"/>
        <v>160593</v>
      </c>
      <c r="G39" s="60">
        <f t="shared" si="5"/>
        <v>231923</v>
      </c>
      <c r="H39" s="60">
        <f t="shared" si="5"/>
        <v>0</v>
      </c>
      <c r="I39" s="60">
        <f t="shared" si="5"/>
        <v>0</v>
      </c>
      <c r="J39" s="60">
        <f t="shared" si="5"/>
        <v>0</v>
      </c>
      <c r="K39" s="60">
        <f t="shared" si="5"/>
        <v>0</v>
      </c>
      <c r="L39" s="60">
        <f t="shared" si="5"/>
        <v>0</v>
      </c>
      <c r="M39" s="60">
        <f t="shared" si="5"/>
        <v>0</v>
      </c>
      <c r="N39" s="60">
        <f>SUM(N35:N38)</f>
        <v>2532866.7200000002</v>
      </c>
      <c r="O39" s="129">
        <f>+N39/N40</f>
        <v>5.8288782698942285E-3</v>
      </c>
      <c r="P39" s="160"/>
      <c r="Q39" s="205"/>
    </row>
    <row r="40" spans="1:17" s="198" customFormat="1" x14ac:dyDescent="0.2">
      <c r="A40" s="206" t="s">
        <v>35</v>
      </c>
      <c r="B40" s="193">
        <f t="shared" ref="B40:O40" si="6">+B11+B30+B33+B39</f>
        <v>89258205</v>
      </c>
      <c r="C40" s="193">
        <f t="shared" si="6"/>
        <v>35562213.719999999</v>
      </c>
      <c r="D40" s="193">
        <f t="shared" si="6"/>
        <v>87133031</v>
      </c>
      <c r="E40" s="193">
        <f t="shared" si="6"/>
        <v>116586845</v>
      </c>
      <c r="F40" s="193">
        <f t="shared" si="6"/>
        <v>34456739</v>
      </c>
      <c r="G40" s="193">
        <f t="shared" si="6"/>
        <v>71540557</v>
      </c>
      <c r="H40" s="193">
        <f t="shared" si="6"/>
        <v>0</v>
      </c>
      <c r="I40" s="193">
        <f t="shared" si="6"/>
        <v>0</v>
      </c>
      <c r="J40" s="193">
        <f t="shared" si="6"/>
        <v>0</v>
      </c>
      <c r="K40" s="193">
        <f t="shared" si="6"/>
        <v>0</v>
      </c>
      <c r="L40" s="193">
        <f t="shared" si="6"/>
        <v>0</v>
      </c>
      <c r="M40" s="193">
        <f t="shared" si="6"/>
        <v>0</v>
      </c>
      <c r="N40" s="194">
        <f t="shared" si="6"/>
        <v>434537590.72000003</v>
      </c>
      <c r="O40" s="136">
        <f t="shared" si="6"/>
        <v>0.99999999999999989</v>
      </c>
      <c r="P40" s="207"/>
      <c r="Q40" s="205"/>
    </row>
    <row r="41" spans="1:17" s="198" customFormat="1" x14ac:dyDescent="0.2">
      <c r="A41" s="208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2"/>
      <c r="O41" s="181"/>
      <c r="P41" s="207"/>
      <c r="Q41" s="205"/>
    </row>
    <row r="42" spans="1:17" x14ac:dyDescent="0.2">
      <c r="A42" s="180" t="s">
        <v>64</v>
      </c>
      <c r="B42" s="180"/>
      <c r="C42" s="180"/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99">
        <v>7</v>
      </c>
    </row>
    <row r="43" spans="1:17" x14ac:dyDescent="0.2">
      <c r="A43" s="183" t="s">
        <v>10</v>
      </c>
      <c r="B43" s="183"/>
      <c r="C43" s="183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99"/>
    </row>
    <row r="44" spans="1:17" x14ac:dyDescent="0.2">
      <c r="A44" s="200" t="s">
        <v>69</v>
      </c>
      <c r="B44" s="57">
        <f>+'EJECUCION SOC ENE 24'!D11</f>
        <v>2345766</v>
      </c>
      <c r="C44" s="57">
        <f>+'EJECUCION SOC FEB 24'!D12</f>
        <v>5956861</v>
      </c>
      <c r="D44" s="57">
        <f>+'EJECUCION SOCIAL MARZO 24'!D12</f>
        <v>5273131.2</v>
      </c>
      <c r="E44" s="57">
        <f>+'EJECUCION SOCIAL ABRIL 24'!D12</f>
        <v>5537309.5999999996</v>
      </c>
      <c r="F44" s="57">
        <f>+'EJECUCION SOCIAL MAY 24'!D12</f>
        <v>6411405.7508000005</v>
      </c>
      <c r="G44" s="57">
        <f>+'EJECUCION SOCIAL JUN 24'!D12</f>
        <v>5429840.2488000002</v>
      </c>
      <c r="H44" s="57"/>
      <c r="I44" s="57"/>
      <c r="J44" s="57"/>
      <c r="K44" s="57"/>
      <c r="L44" s="57"/>
      <c r="M44" s="57"/>
      <c r="N44" s="131">
        <f>SUM(B44:M44)</f>
        <v>30954313.799599998</v>
      </c>
      <c r="O44" s="57"/>
      <c r="P44" s="199"/>
    </row>
    <row r="45" spans="1:17" x14ac:dyDescent="0.2">
      <c r="A45" s="200" t="s">
        <v>183</v>
      </c>
      <c r="B45" s="57">
        <v>131136</v>
      </c>
      <c r="C45" s="57">
        <v>131136</v>
      </c>
      <c r="D45" s="57">
        <v>131136</v>
      </c>
      <c r="E45" s="57">
        <v>131136</v>
      </c>
      <c r="F45" s="57">
        <v>131136</v>
      </c>
      <c r="G45" s="57">
        <v>131136</v>
      </c>
      <c r="H45" s="57"/>
      <c r="I45" s="57"/>
      <c r="J45" s="57"/>
      <c r="K45" s="57"/>
      <c r="L45" s="57"/>
      <c r="M45" s="57"/>
      <c r="N45" s="131">
        <f t="shared" ref="N45:N78" si="7">SUM(B45:M45)</f>
        <v>786816</v>
      </c>
      <c r="O45" s="57"/>
      <c r="P45" s="199"/>
    </row>
    <row r="46" spans="1:17" x14ac:dyDescent="0.2">
      <c r="A46" s="200" t="s">
        <v>81</v>
      </c>
      <c r="B46" s="57">
        <v>0</v>
      </c>
      <c r="C46" s="57">
        <v>0</v>
      </c>
      <c r="D46" s="57">
        <v>0</v>
      </c>
      <c r="E46" s="57">
        <v>0</v>
      </c>
      <c r="F46" s="57">
        <v>0</v>
      </c>
      <c r="G46" s="57">
        <v>0</v>
      </c>
      <c r="H46" s="57"/>
      <c r="I46" s="57"/>
      <c r="J46" s="57"/>
      <c r="K46" s="57"/>
      <c r="L46" s="57"/>
      <c r="M46" s="57"/>
      <c r="N46" s="131">
        <f t="shared" si="7"/>
        <v>0</v>
      </c>
      <c r="O46" s="57"/>
      <c r="P46" s="161"/>
    </row>
    <row r="47" spans="1:17" x14ac:dyDescent="0.2">
      <c r="A47" s="200" t="s">
        <v>270</v>
      </c>
      <c r="B47" s="57">
        <v>0</v>
      </c>
      <c r="C47" s="57">
        <v>0</v>
      </c>
      <c r="D47" s="57">
        <v>0</v>
      </c>
      <c r="E47" s="57">
        <v>0</v>
      </c>
      <c r="F47" s="57">
        <v>0</v>
      </c>
      <c r="G47" s="57">
        <v>0</v>
      </c>
      <c r="H47" s="57"/>
      <c r="I47" s="57"/>
      <c r="J47" s="57"/>
      <c r="K47" s="57"/>
      <c r="L47" s="57"/>
      <c r="M47" s="57"/>
      <c r="N47" s="131">
        <f t="shared" si="7"/>
        <v>0</v>
      </c>
      <c r="O47" s="57"/>
      <c r="P47" s="161"/>
    </row>
    <row r="48" spans="1:17" x14ac:dyDescent="0.2">
      <c r="A48" s="200" t="s">
        <v>186</v>
      </c>
      <c r="B48" s="57">
        <v>64000</v>
      </c>
      <c r="C48" s="57">
        <v>255000</v>
      </c>
      <c r="D48" s="57">
        <v>0</v>
      </c>
      <c r="E48" s="57">
        <v>91000</v>
      </c>
      <c r="F48" s="57">
        <v>115000</v>
      </c>
      <c r="G48" s="57">
        <v>75000</v>
      </c>
      <c r="H48" s="57"/>
      <c r="I48" s="57"/>
      <c r="J48" s="57"/>
      <c r="K48" s="57"/>
      <c r="L48" s="57"/>
      <c r="M48" s="57"/>
      <c r="N48" s="131">
        <f t="shared" si="7"/>
        <v>600000</v>
      </c>
      <c r="O48" s="57"/>
      <c r="P48" s="161"/>
    </row>
    <row r="49" spans="1:17" x14ac:dyDescent="0.2">
      <c r="A49" s="200" t="s">
        <v>276</v>
      </c>
      <c r="B49" s="57"/>
      <c r="C49" s="57"/>
      <c r="D49" s="57"/>
      <c r="E49" s="57">
        <v>0</v>
      </c>
      <c r="F49" s="57">
        <v>0</v>
      </c>
      <c r="G49" s="57">
        <v>0</v>
      </c>
      <c r="H49" s="57"/>
      <c r="I49" s="57"/>
      <c r="J49" s="57"/>
      <c r="K49" s="57"/>
      <c r="L49" s="57"/>
      <c r="M49" s="57"/>
      <c r="N49" s="131">
        <f t="shared" si="7"/>
        <v>0</v>
      </c>
      <c r="O49" s="57"/>
      <c r="P49" s="161"/>
    </row>
    <row r="50" spans="1:17" x14ac:dyDescent="0.2">
      <c r="A50" s="200" t="s">
        <v>28</v>
      </c>
      <c r="B50" s="57">
        <v>0</v>
      </c>
      <c r="C50" s="57">
        <v>5324.8</v>
      </c>
      <c r="D50" s="57">
        <v>2601.8000000000002</v>
      </c>
      <c r="E50" s="57">
        <v>705.5</v>
      </c>
      <c r="F50" s="57">
        <v>104500.20000000001</v>
      </c>
      <c r="G50" s="57">
        <v>9711.4</v>
      </c>
      <c r="H50" s="57"/>
      <c r="I50" s="57"/>
      <c r="J50" s="57"/>
      <c r="K50" s="57"/>
      <c r="L50" s="57"/>
      <c r="M50" s="57"/>
      <c r="N50" s="131">
        <f t="shared" si="7"/>
        <v>122843.70000000001</v>
      </c>
      <c r="O50" s="57"/>
      <c r="P50" s="161"/>
      <c r="Q50" s="203"/>
    </row>
    <row r="51" spans="1:17" x14ac:dyDescent="0.2">
      <c r="A51" s="200" t="s">
        <v>121</v>
      </c>
      <c r="B51" s="57">
        <v>0</v>
      </c>
      <c r="C51" s="57">
        <v>0</v>
      </c>
      <c r="D51" s="57">
        <v>0</v>
      </c>
      <c r="E51" s="57">
        <v>0</v>
      </c>
      <c r="F51" s="57">
        <v>0</v>
      </c>
      <c r="G51" s="57">
        <v>206360</v>
      </c>
      <c r="H51" s="57"/>
      <c r="I51" s="57"/>
      <c r="J51" s="57"/>
      <c r="K51" s="57"/>
      <c r="L51" s="57"/>
      <c r="M51" s="57"/>
      <c r="N51" s="131">
        <f t="shared" si="7"/>
        <v>206360</v>
      </c>
      <c r="O51" s="57"/>
      <c r="P51" s="161"/>
      <c r="Q51" s="203"/>
    </row>
    <row r="52" spans="1:17" x14ac:dyDescent="0.2">
      <c r="A52" s="200" t="s">
        <v>111</v>
      </c>
      <c r="B52" s="57">
        <v>0</v>
      </c>
      <c r="C52" s="57">
        <v>0</v>
      </c>
      <c r="D52" s="57">
        <v>0</v>
      </c>
      <c r="E52" s="57">
        <v>0</v>
      </c>
      <c r="F52" s="57">
        <v>0</v>
      </c>
      <c r="G52" s="57">
        <v>0</v>
      </c>
      <c r="H52" s="57"/>
      <c r="I52" s="57"/>
      <c r="J52" s="57"/>
      <c r="K52" s="57"/>
      <c r="L52" s="57"/>
      <c r="M52" s="57"/>
      <c r="N52" s="131">
        <f t="shared" si="7"/>
        <v>0</v>
      </c>
      <c r="O52" s="57"/>
      <c r="P52" s="161"/>
    </row>
    <row r="53" spans="1:17" x14ac:dyDescent="0.2">
      <c r="A53" s="200" t="s">
        <v>220</v>
      </c>
      <c r="B53" s="57">
        <v>19507.5</v>
      </c>
      <c r="C53" s="57">
        <v>20183.800000000003</v>
      </c>
      <c r="D53" s="57">
        <v>18533.8</v>
      </c>
      <c r="E53" s="57">
        <v>42841.4</v>
      </c>
      <c r="F53" s="57">
        <v>19121.7</v>
      </c>
      <c r="G53" s="57">
        <v>19121.7</v>
      </c>
      <c r="H53" s="57"/>
      <c r="I53" s="57"/>
      <c r="J53" s="57"/>
      <c r="K53" s="57"/>
      <c r="L53" s="57"/>
      <c r="M53" s="57"/>
      <c r="N53" s="131">
        <f t="shared" si="7"/>
        <v>139309.9</v>
      </c>
      <c r="O53" s="57"/>
      <c r="P53" s="161"/>
    </row>
    <row r="54" spans="1:17" x14ac:dyDescent="0.2">
      <c r="A54" s="200" t="s">
        <v>68</v>
      </c>
      <c r="B54" s="57">
        <v>20122.100000000002</v>
      </c>
      <c r="C54" s="57">
        <v>23603.200000000001</v>
      </c>
      <c r="D54" s="57">
        <v>23846.7</v>
      </c>
      <c r="E54" s="57">
        <v>0</v>
      </c>
      <c r="F54" s="57">
        <v>23981.9</v>
      </c>
      <c r="G54" s="57">
        <v>23895.800000000003</v>
      </c>
      <c r="H54" s="57"/>
      <c r="I54" s="57"/>
      <c r="J54" s="57"/>
      <c r="K54" s="57"/>
      <c r="L54" s="57"/>
      <c r="M54" s="57"/>
      <c r="N54" s="131">
        <f t="shared" si="7"/>
        <v>115449.7</v>
      </c>
      <c r="O54" s="57"/>
      <c r="P54" s="161"/>
    </row>
    <row r="55" spans="1:17" x14ac:dyDescent="0.2">
      <c r="A55" s="200" t="s">
        <v>187</v>
      </c>
      <c r="B55" s="57">
        <v>20124.600000000002</v>
      </c>
      <c r="C55" s="57">
        <v>120931.20000000001</v>
      </c>
      <c r="D55" s="57">
        <v>0</v>
      </c>
      <c r="E55" s="57">
        <v>0</v>
      </c>
      <c r="F55" s="57">
        <v>0</v>
      </c>
      <c r="G55" s="57">
        <v>29433.4</v>
      </c>
      <c r="H55" s="57"/>
      <c r="I55" s="57"/>
      <c r="J55" s="57"/>
      <c r="K55" s="57"/>
      <c r="L55" s="57"/>
      <c r="M55" s="57"/>
      <c r="N55" s="131">
        <f t="shared" si="7"/>
        <v>170489.2</v>
      </c>
      <c r="O55" s="57"/>
      <c r="P55" s="161"/>
    </row>
    <row r="56" spans="1:17" x14ac:dyDescent="0.2">
      <c r="A56" s="200" t="s">
        <v>188</v>
      </c>
      <c r="B56" s="57">
        <v>209220.5</v>
      </c>
      <c r="C56" s="57">
        <v>133911.9</v>
      </c>
      <c r="D56" s="57">
        <v>18072.2</v>
      </c>
      <c r="E56" s="57">
        <v>19453.600000000002</v>
      </c>
      <c r="F56" s="57">
        <v>67741.2</v>
      </c>
      <c r="G56" s="57">
        <v>21785.600000000002</v>
      </c>
      <c r="H56" s="57"/>
      <c r="I56" s="57"/>
      <c r="J56" s="57"/>
      <c r="K56" s="57"/>
      <c r="L56" s="57"/>
      <c r="M56" s="57"/>
      <c r="N56" s="131">
        <f t="shared" si="7"/>
        <v>470185</v>
      </c>
      <c r="O56" s="57"/>
      <c r="P56" s="161"/>
    </row>
    <row r="57" spans="1:17" x14ac:dyDescent="0.2">
      <c r="A57" s="200" t="s">
        <v>263</v>
      </c>
      <c r="B57" s="57">
        <v>419300</v>
      </c>
      <c r="C57" s="57">
        <v>0</v>
      </c>
      <c r="D57" s="57">
        <v>0</v>
      </c>
      <c r="E57" s="57">
        <v>0</v>
      </c>
      <c r="F57" s="57">
        <v>0</v>
      </c>
      <c r="G57" s="57">
        <v>0</v>
      </c>
      <c r="H57" s="57"/>
      <c r="I57" s="57"/>
      <c r="J57" s="57"/>
      <c r="K57" s="57"/>
      <c r="L57" s="57"/>
      <c r="M57" s="57"/>
      <c r="N57" s="131">
        <f t="shared" si="7"/>
        <v>419300</v>
      </c>
      <c r="O57" s="57"/>
      <c r="P57" s="161"/>
      <c r="Q57" s="203"/>
    </row>
    <row r="58" spans="1:17" x14ac:dyDescent="0.2">
      <c r="A58" s="200" t="s">
        <v>108</v>
      </c>
      <c r="B58" s="57">
        <v>0</v>
      </c>
      <c r="C58" s="57">
        <v>0</v>
      </c>
      <c r="D58" s="57">
        <v>0</v>
      </c>
      <c r="E58" s="57">
        <v>0</v>
      </c>
      <c r="F58" s="57">
        <v>0</v>
      </c>
      <c r="G58" s="57">
        <v>0</v>
      </c>
      <c r="H58" s="57"/>
      <c r="I58" s="57"/>
      <c r="J58" s="57"/>
      <c r="K58" s="57"/>
      <c r="L58" s="57"/>
      <c r="M58" s="57"/>
      <c r="N58" s="131">
        <f t="shared" si="7"/>
        <v>0</v>
      </c>
      <c r="O58" s="57"/>
      <c r="P58" s="161"/>
      <c r="Q58" s="203"/>
    </row>
    <row r="59" spans="1:17" x14ac:dyDescent="0.2">
      <c r="A59" s="200" t="s">
        <v>155</v>
      </c>
      <c r="B59" s="57">
        <v>0</v>
      </c>
      <c r="C59" s="57">
        <v>16000</v>
      </c>
      <c r="D59" s="57">
        <v>2000</v>
      </c>
      <c r="E59" s="57">
        <v>4400</v>
      </c>
      <c r="F59" s="57">
        <v>0</v>
      </c>
      <c r="G59" s="57">
        <v>1500</v>
      </c>
      <c r="H59" s="57"/>
      <c r="I59" s="57"/>
      <c r="J59" s="57"/>
      <c r="K59" s="57"/>
      <c r="L59" s="57"/>
      <c r="M59" s="57"/>
      <c r="N59" s="131">
        <f t="shared" si="7"/>
        <v>23900</v>
      </c>
      <c r="O59" s="57"/>
      <c r="P59" s="161"/>
    </row>
    <row r="60" spans="1:17" x14ac:dyDescent="0.2">
      <c r="A60" s="200" t="s">
        <v>115</v>
      </c>
      <c r="B60" s="57">
        <v>0</v>
      </c>
      <c r="C60" s="57">
        <v>0</v>
      </c>
      <c r="D60" s="57">
        <v>0</v>
      </c>
      <c r="E60" s="57">
        <v>0</v>
      </c>
      <c r="F60" s="57">
        <v>0</v>
      </c>
      <c r="G60" s="57">
        <v>0</v>
      </c>
      <c r="H60" s="57"/>
      <c r="I60" s="57"/>
      <c r="J60" s="57"/>
      <c r="K60" s="57"/>
      <c r="L60" s="57"/>
      <c r="M60" s="57"/>
      <c r="N60" s="131">
        <f t="shared" si="7"/>
        <v>0</v>
      </c>
      <c r="O60" s="57"/>
      <c r="P60" s="161"/>
    </row>
    <row r="61" spans="1:17" x14ac:dyDescent="0.2">
      <c r="A61" s="200" t="s">
        <v>72</v>
      </c>
      <c r="B61" s="57">
        <v>0</v>
      </c>
      <c r="C61" s="57">
        <v>0</v>
      </c>
      <c r="D61" s="57">
        <v>0</v>
      </c>
      <c r="E61" s="57">
        <v>0</v>
      </c>
      <c r="F61" s="57">
        <v>35000</v>
      </c>
      <c r="G61" s="57">
        <v>0</v>
      </c>
      <c r="H61" s="57"/>
      <c r="I61" s="57"/>
      <c r="J61" s="57"/>
      <c r="K61" s="57"/>
      <c r="L61" s="57"/>
      <c r="M61" s="57"/>
      <c r="N61" s="131">
        <f t="shared" si="7"/>
        <v>35000</v>
      </c>
      <c r="O61" s="57"/>
      <c r="P61" s="161"/>
    </row>
    <row r="62" spans="1:17" x14ac:dyDescent="0.2">
      <c r="A62" s="200" t="s">
        <v>52</v>
      </c>
      <c r="B62" s="57">
        <v>790</v>
      </c>
      <c r="C62" s="57">
        <v>0</v>
      </c>
      <c r="D62" s="57">
        <v>206470</v>
      </c>
      <c r="E62" s="57">
        <v>790</v>
      </c>
      <c r="F62" s="57">
        <v>47050</v>
      </c>
      <c r="G62" s="57">
        <v>0</v>
      </c>
      <c r="H62" s="57"/>
      <c r="I62" s="57"/>
      <c r="J62" s="57"/>
      <c r="K62" s="57"/>
      <c r="L62" s="57"/>
      <c r="M62" s="57"/>
      <c r="N62" s="131">
        <f t="shared" si="7"/>
        <v>255100</v>
      </c>
      <c r="O62" s="57"/>
      <c r="P62" s="161"/>
    </row>
    <row r="63" spans="1:17" x14ac:dyDescent="0.2">
      <c r="A63" s="200" t="s">
        <v>189</v>
      </c>
      <c r="B63" s="57">
        <v>0</v>
      </c>
      <c r="C63" s="57">
        <v>10495.800000000001</v>
      </c>
      <c r="D63" s="57">
        <v>0</v>
      </c>
      <c r="E63" s="57">
        <v>24452.2</v>
      </c>
      <c r="F63" s="57">
        <v>0</v>
      </c>
      <c r="G63" s="57">
        <v>0</v>
      </c>
      <c r="H63" s="57"/>
      <c r="I63" s="57"/>
      <c r="J63" s="57"/>
      <c r="K63" s="57"/>
      <c r="L63" s="57"/>
      <c r="M63" s="57"/>
      <c r="N63" s="131">
        <f t="shared" si="7"/>
        <v>34948</v>
      </c>
      <c r="O63" s="57"/>
      <c r="P63" s="161"/>
    </row>
    <row r="64" spans="1:17" x14ac:dyDescent="0.2">
      <c r="A64" s="200" t="s">
        <v>190</v>
      </c>
      <c r="B64" s="57">
        <v>0</v>
      </c>
      <c r="C64" s="57">
        <v>0</v>
      </c>
      <c r="D64" s="57">
        <v>0</v>
      </c>
      <c r="E64" s="57">
        <v>0</v>
      </c>
      <c r="F64" s="57">
        <v>0</v>
      </c>
      <c r="G64" s="57">
        <v>0</v>
      </c>
      <c r="H64" s="57"/>
      <c r="I64" s="57"/>
      <c r="J64" s="57"/>
      <c r="K64" s="57"/>
      <c r="L64" s="57"/>
      <c r="M64" s="57"/>
      <c r="N64" s="131">
        <f t="shared" si="7"/>
        <v>0</v>
      </c>
      <c r="O64" s="57"/>
      <c r="P64" s="161"/>
    </row>
    <row r="65" spans="1:17" x14ac:dyDescent="0.2">
      <c r="A65" s="200" t="s">
        <v>6</v>
      </c>
      <c r="B65" s="57">
        <v>73714.3</v>
      </c>
      <c r="C65" s="57">
        <v>38318</v>
      </c>
      <c r="D65" s="57">
        <v>0</v>
      </c>
      <c r="E65" s="57">
        <v>30000</v>
      </c>
      <c r="F65" s="57">
        <v>0</v>
      </c>
      <c r="G65" s="57">
        <v>9000</v>
      </c>
      <c r="H65" s="57"/>
      <c r="I65" s="57"/>
      <c r="J65" s="57"/>
      <c r="K65" s="57"/>
      <c r="L65" s="57"/>
      <c r="M65" s="57"/>
      <c r="N65" s="131">
        <f t="shared" si="7"/>
        <v>151032.29999999999</v>
      </c>
      <c r="O65" s="57"/>
      <c r="P65" s="161"/>
    </row>
    <row r="66" spans="1:17" x14ac:dyDescent="0.2">
      <c r="A66" s="200" t="s">
        <v>191</v>
      </c>
      <c r="B66" s="57">
        <v>18898.100000000002</v>
      </c>
      <c r="C66" s="57">
        <v>18898.100000000002</v>
      </c>
      <c r="D66" s="57">
        <v>18898.100000000002</v>
      </c>
      <c r="E66" s="57">
        <v>18898.100000000002</v>
      </c>
      <c r="F66" s="57">
        <v>18898.100000000002</v>
      </c>
      <c r="G66" s="57">
        <v>38617.300000000003</v>
      </c>
      <c r="H66" s="57"/>
      <c r="I66" s="57"/>
      <c r="J66" s="57"/>
      <c r="K66" s="57"/>
      <c r="L66" s="57"/>
      <c r="M66" s="57"/>
      <c r="N66" s="131">
        <f t="shared" si="7"/>
        <v>133107.80000000002</v>
      </c>
      <c r="O66" s="57"/>
      <c r="P66" s="161"/>
    </row>
    <row r="67" spans="1:17" x14ac:dyDescent="0.2">
      <c r="A67" s="200" t="s">
        <v>269</v>
      </c>
      <c r="B67" s="57"/>
      <c r="C67" s="57">
        <v>0</v>
      </c>
      <c r="D67" s="57">
        <v>0</v>
      </c>
      <c r="E67" s="57">
        <v>0</v>
      </c>
      <c r="F67" s="57">
        <v>0</v>
      </c>
      <c r="G67" s="57">
        <v>0</v>
      </c>
      <c r="H67" s="57"/>
      <c r="I67" s="57"/>
      <c r="J67" s="57"/>
      <c r="K67" s="57"/>
      <c r="L67" s="57"/>
      <c r="M67" s="57"/>
      <c r="N67" s="131">
        <f t="shared" si="7"/>
        <v>0</v>
      </c>
      <c r="O67" s="57"/>
      <c r="P67" s="161"/>
    </row>
    <row r="68" spans="1:17" x14ac:dyDescent="0.2">
      <c r="A68" s="200" t="s">
        <v>192</v>
      </c>
      <c r="B68" s="57">
        <v>0</v>
      </c>
      <c r="C68" s="57">
        <v>71007</v>
      </c>
      <c r="D68" s="57">
        <v>20665.300000000003</v>
      </c>
      <c r="E68" s="57">
        <v>9929.6</v>
      </c>
      <c r="F68" s="57">
        <v>4699</v>
      </c>
      <c r="G68" s="57">
        <v>79981.5</v>
      </c>
      <c r="H68" s="57"/>
      <c r="I68" s="57"/>
      <c r="J68" s="57"/>
      <c r="K68" s="57"/>
      <c r="L68" s="57"/>
      <c r="M68" s="57"/>
      <c r="N68" s="131">
        <f t="shared" si="7"/>
        <v>186282.40000000002</v>
      </c>
      <c r="O68" s="57"/>
      <c r="P68" s="161"/>
    </row>
    <row r="69" spans="1:17" x14ac:dyDescent="0.2">
      <c r="A69" s="200" t="s">
        <v>247</v>
      </c>
      <c r="B69" s="57">
        <v>21522.100000000002</v>
      </c>
      <c r="C69" s="57">
        <v>23760.9</v>
      </c>
      <c r="D69" s="57">
        <v>30875.9</v>
      </c>
      <c r="E69" s="57">
        <v>13860.7</v>
      </c>
      <c r="F69" s="57">
        <v>23082.2</v>
      </c>
      <c r="G69" s="57">
        <v>0</v>
      </c>
      <c r="H69" s="57"/>
      <c r="I69" s="57"/>
      <c r="J69" s="57"/>
      <c r="K69" s="57"/>
      <c r="L69" s="57"/>
      <c r="M69" s="57"/>
      <c r="N69" s="131">
        <f t="shared" si="7"/>
        <v>113101.79999999999</v>
      </c>
      <c r="O69" s="57"/>
      <c r="P69" s="161"/>
      <c r="Q69" s="203"/>
    </row>
    <row r="70" spans="1:17" x14ac:dyDescent="0.2">
      <c r="A70" s="200" t="s">
        <v>48</v>
      </c>
      <c r="B70" s="57">
        <v>27640</v>
      </c>
      <c r="C70" s="57">
        <v>41200</v>
      </c>
      <c r="D70" s="57">
        <v>23965</v>
      </c>
      <c r="E70" s="57">
        <v>13800</v>
      </c>
      <c r="F70" s="57">
        <v>24560</v>
      </c>
      <c r="G70" s="57">
        <v>14500</v>
      </c>
      <c r="H70" s="57"/>
      <c r="I70" s="57"/>
      <c r="J70" s="57"/>
      <c r="K70" s="57"/>
      <c r="L70" s="57"/>
      <c r="M70" s="57"/>
      <c r="N70" s="131">
        <f t="shared" si="7"/>
        <v>145665</v>
      </c>
      <c r="O70" s="57"/>
      <c r="P70" s="161"/>
      <c r="Q70" s="203"/>
    </row>
    <row r="71" spans="1:17" x14ac:dyDescent="0.2">
      <c r="A71" s="200" t="s">
        <v>49</v>
      </c>
      <c r="B71" s="57">
        <v>420.20000000000005</v>
      </c>
      <c r="C71" s="57">
        <v>2020.2</v>
      </c>
      <c r="D71" s="57">
        <v>420.20000000000005</v>
      </c>
      <c r="E71" s="57">
        <v>2394.9</v>
      </c>
      <c r="F71" s="57">
        <v>420.20000000000005</v>
      </c>
      <c r="G71" s="57">
        <v>1260.5</v>
      </c>
      <c r="H71" s="57"/>
      <c r="I71" s="57"/>
      <c r="J71" s="57"/>
      <c r="K71" s="57"/>
      <c r="L71" s="57"/>
      <c r="M71" s="57"/>
      <c r="N71" s="131">
        <f t="shared" si="7"/>
        <v>6936.2</v>
      </c>
      <c r="O71" s="57"/>
      <c r="P71" s="161"/>
    </row>
    <row r="72" spans="1:17" x14ac:dyDescent="0.2">
      <c r="A72" s="200" t="s">
        <v>193</v>
      </c>
      <c r="B72" s="57">
        <v>0</v>
      </c>
      <c r="C72" s="57">
        <v>0</v>
      </c>
      <c r="D72" s="57">
        <v>0</v>
      </c>
      <c r="E72" s="57">
        <v>0</v>
      </c>
      <c r="F72" s="57">
        <v>0</v>
      </c>
      <c r="G72" s="57">
        <v>0</v>
      </c>
      <c r="H72" s="57"/>
      <c r="I72" s="57"/>
      <c r="J72" s="57"/>
      <c r="K72" s="57"/>
      <c r="L72" s="57"/>
      <c r="M72" s="57"/>
      <c r="N72" s="131">
        <f t="shared" si="7"/>
        <v>0</v>
      </c>
      <c r="O72" s="57"/>
      <c r="P72" s="161"/>
    </row>
    <row r="73" spans="1:17" x14ac:dyDescent="0.2">
      <c r="A73" s="200" t="s">
        <v>281</v>
      </c>
      <c r="B73" s="57">
        <v>0</v>
      </c>
      <c r="C73" s="57">
        <v>0</v>
      </c>
      <c r="D73" s="57">
        <v>0</v>
      </c>
      <c r="E73" s="57">
        <v>0</v>
      </c>
      <c r="F73" s="57">
        <v>0</v>
      </c>
      <c r="G73" s="57">
        <v>0</v>
      </c>
      <c r="H73" s="57"/>
      <c r="I73" s="57"/>
      <c r="J73" s="57"/>
      <c r="K73" s="57"/>
      <c r="L73" s="57"/>
      <c r="M73" s="57"/>
      <c r="N73" s="131">
        <f t="shared" si="7"/>
        <v>0</v>
      </c>
      <c r="O73" s="57"/>
      <c r="P73" s="161"/>
    </row>
    <row r="74" spans="1:17" x14ac:dyDescent="0.2">
      <c r="A74" s="200" t="s">
        <v>282</v>
      </c>
      <c r="B74" s="57">
        <v>0</v>
      </c>
      <c r="C74" s="57">
        <v>0</v>
      </c>
      <c r="D74" s="57">
        <v>0</v>
      </c>
      <c r="E74" s="57">
        <v>0</v>
      </c>
      <c r="F74" s="57">
        <v>0</v>
      </c>
      <c r="G74" s="57">
        <v>0</v>
      </c>
      <c r="H74" s="57"/>
      <c r="I74" s="57"/>
      <c r="J74" s="57"/>
      <c r="K74" s="57"/>
      <c r="L74" s="57"/>
      <c r="M74" s="57"/>
      <c r="N74" s="131">
        <f t="shared" si="7"/>
        <v>0</v>
      </c>
      <c r="O74" s="57"/>
      <c r="P74" s="161"/>
    </row>
    <row r="75" spans="1:17" x14ac:dyDescent="0.2">
      <c r="A75" s="200" t="s">
        <v>265</v>
      </c>
      <c r="B75" s="57"/>
      <c r="C75" s="57"/>
      <c r="D75" s="57"/>
      <c r="E75" s="57">
        <v>0</v>
      </c>
      <c r="F75" s="57">
        <v>0</v>
      </c>
      <c r="G75" s="57">
        <v>0</v>
      </c>
      <c r="H75" s="57"/>
      <c r="I75" s="57"/>
      <c r="J75" s="57"/>
      <c r="K75" s="57"/>
      <c r="L75" s="57"/>
      <c r="M75" s="57"/>
      <c r="N75" s="131">
        <f t="shared" si="7"/>
        <v>0</v>
      </c>
      <c r="O75" s="57"/>
      <c r="P75" s="161"/>
    </row>
    <row r="76" spans="1:17" x14ac:dyDescent="0.2">
      <c r="A76" s="200" t="s">
        <v>283</v>
      </c>
      <c r="B76" s="57"/>
      <c r="C76" s="57"/>
      <c r="D76" s="57"/>
      <c r="E76" s="57">
        <v>0</v>
      </c>
      <c r="F76" s="57">
        <v>0</v>
      </c>
      <c r="G76" s="57">
        <v>0</v>
      </c>
      <c r="H76" s="57"/>
      <c r="I76" s="57"/>
      <c r="J76" s="57"/>
      <c r="K76" s="57"/>
      <c r="L76" s="57"/>
      <c r="M76" s="57"/>
      <c r="N76" s="131">
        <f t="shared" si="7"/>
        <v>0</v>
      </c>
      <c r="O76" s="57"/>
      <c r="P76" s="161"/>
    </row>
    <row r="77" spans="1:17" x14ac:dyDescent="0.2">
      <c r="A77" s="200" t="s">
        <v>232</v>
      </c>
      <c r="B77" s="57">
        <v>0</v>
      </c>
      <c r="C77" s="57">
        <v>0</v>
      </c>
      <c r="D77" s="57">
        <v>0</v>
      </c>
      <c r="E77" s="57">
        <v>0</v>
      </c>
      <c r="F77" s="57">
        <v>0</v>
      </c>
      <c r="G77" s="57">
        <v>0</v>
      </c>
      <c r="H77" s="57"/>
      <c r="I77" s="57"/>
      <c r="J77" s="57"/>
      <c r="K77" s="57"/>
      <c r="L77" s="57"/>
      <c r="M77" s="57"/>
      <c r="N77" s="131">
        <f t="shared" si="7"/>
        <v>0</v>
      </c>
      <c r="O77" s="57"/>
      <c r="P77" s="161"/>
    </row>
    <row r="78" spans="1:17" x14ac:dyDescent="0.2">
      <c r="A78" s="200" t="s">
        <v>70</v>
      </c>
      <c r="B78" s="57">
        <v>0</v>
      </c>
      <c r="C78" s="57">
        <v>0</v>
      </c>
      <c r="D78" s="57">
        <v>0</v>
      </c>
      <c r="E78" s="57">
        <v>0</v>
      </c>
      <c r="F78" s="57">
        <v>0</v>
      </c>
      <c r="G78" s="57">
        <v>20710</v>
      </c>
      <c r="H78" s="57"/>
      <c r="I78" s="57"/>
      <c r="J78" s="57"/>
      <c r="K78" s="57"/>
      <c r="L78" s="57"/>
      <c r="M78" s="57"/>
      <c r="N78" s="131">
        <f t="shared" si="7"/>
        <v>20710</v>
      </c>
      <c r="O78" s="57"/>
      <c r="P78" s="161"/>
    </row>
    <row r="79" spans="1:17" s="198" customFormat="1" x14ac:dyDescent="0.2">
      <c r="A79" s="202" t="s">
        <v>9</v>
      </c>
      <c r="B79" s="60">
        <f t="shared" ref="B79:N79" si="8">SUM(B44:B78)</f>
        <v>3372161.4000000004</v>
      </c>
      <c r="C79" s="60">
        <f t="shared" si="8"/>
        <v>6868651.9000000004</v>
      </c>
      <c r="D79" s="60">
        <f t="shared" si="8"/>
        <v>5770616.2000000002</v>
      </c>
      <c r="E79" s="60">
        <f t="shared" si="8"/>
        <v>5940971.5999999996</v>
      </c>
      <c r="F79" s="60">
        <f t="shared" si="8"/>
        <v>7026596.2508000014</v>
      </c>
      <c r="G79" s="60">
        <f t="shared" si="8"/>
        <v>6111853.4488000004</v>
      </c>
      <c r="H79" s="60">
        <f t="shared" si="8"/>
        <v>0</v>
      </c>
      <c r="I79" s="60">
        <f t="shared" si="8"/>
        <v>0</v>
      </c>
      <c r="J79" s="60">
        <f t="shared" si="8"/>
        <v>0</v>
      </c>
      <c r="K79" s="60">
        <f t="shared" si="8"/>
        <v>0</v>
      </c>
      <c r="L79" s="60">
        <f t="shared" si="8"/>
        <v>0</v>
      </c>
      <c r="M79" s="60">
        <f t="shared" si="8"/>
        <v>0</v>
      </c>
      <c r="N79" s="60">
        <f t="shared" si="8"/>
        <v>35090850.799599983</v>
      </c>
      <c r="O79" s="129">
        <f>+N79/N139</f>
        <v>8.3531216733296512E-2</v>
      </c>
      <c r="P79" s="160"/>
      <c r="Q79" s="205"/>
    </row>
    <row r="80" spans="1:17" x14ac:dyDescent="0.2">
      <c r="A80" s="197" t="s">
        <v>229</v>
      </c>
      <c r="B80" s="154"/>
      <c r="C80" s="154"/>
      <c r="D80" s="154"/>
      <c r="E80" s="154"/>
      <c r="F80" s="154"/>
      <c r="G80" s="154"/>
      <c r="H80" s="154"/>
      <c r="I80" s="154"/>
      <c r="J80" s="154"/>
      <c r="K80" s="154"/>
      <c r="L80" s="154"/>
      <c r="M80" s="154"/>
      <c r="N80" s="154"/>
      <c r="O80" s="154"/>
      <c r="P80" s="199">
        <v>8</v>
      </c>
    </row>
    <row r="81" spans="1:17" x14ac:dyDescent="0.2">
      <c r="A81" s="209" t="s">
        <v>69</v>
      </c>
      <c r="B81" s="57">
        <f>+'EJECUCION SOC ENE 24'!S11</f>
        <v>803116</v>
      </c>
      <c r="C81" s="42">
        <f>+'EJECUCION SOC FEB 24'!S12</f>
        <v>1224471.6599999999</v>
      </c>
      <c r="D81" s="42">
        <f>+'EJECUCION SOCIAL MARZO 24'!S12</f>
        <v>1076671.6599999999</v>
      </c>
      <c r="E81" s="42">
        <f>+'EJECUCION SOCIAL ABRIL 24'!S12</f>
        <v>1121114.79</v>
      </c>
      <c r="F81" s="42">
        <f>+'EJECUCION SOCIAL MAY 24'!S12</f>
        <v>1395764.0297600001</v>
      </c>
      <c r="G81" s="42">
        <f>+'EJECUCION SOCIAL JUN 24'!S12</f>
        <v>1099543.8553599999</v>
      </c>
      <c r="H81" s="42"/>
      <c r="I81" s="42"/>
      <c r="J81" s="42"/>
      <c r="K81" s="42"/>
      <c r="L81" s="42"/>
      <c r="M81" s="42"/>
      <c r="N81" s="131">
        <f>SUM(B81:M81)</f>
        <v>6720681.9951200001</v>
      </c>
      <c r="O81" s="42"/>
      <c r="P81" s="199"/>
      <c r="Q81" s="203"/>
    </row>
    <row r="82" spans="1:17" x14ac:dyDescent="0.2">
      <c r="A82" s="209" t="s">
        <v>183</v>
      </c>
      <c r="B82" s="57">
        <v>118022.39999999999</v>
      </c>
      <c r="C82" s="57">
        <v>118022.39999999999</v>
      </c>
      <c r="D82" s="57">
        <v>118022.39999999999</v>
      </c>
      <c r="E82" s="57">
        <v>118022.39999999999</v>
      </c>
      <c r="F82" s="57">
        <v>118022.39999999999</v>
      </c>
      <c r="G82" s="57">
        <v>118022.39999999999</v>
      </c>
      <c r="H82" s="57"/>
      <c r="I82" s="57"/>
      <c r="J82" s="57"/>
      <c r="K82" s="57"/>
      <c r="L82" s="57"/>
      <c r="M82" s="57"/>
      <c r="N82" s="131">
        <f t="shared" ref="N82:N115" si="9">SUM(B82:M82)</f>
        <v>708134.40000000002</v>
      </c>
      <c r="O82" s="57"/>
      <c r="P82" s="161"/>
    </row>
    <row r="83" spans="1:17" x14ac:dyDescent="0.2">
      <c r="A83" s="209" t="s">
        <v>81</v>
      </c>
      <c r="B83" s="57">
        <v>0</v>
      </c>
      <c r="C83" s="57">
        <v>0</v>
      </c>
      <c r="D83" s="57">
        <v>0</v>
      </c>
      <c r="E83" s="57">
        <v>0</v>
      </c>
      <c r="F83" s="57">
        <v>0</v>
      </c>
      <c r="G83" s="57">
        <v>0</v>
      </c>
      <c r="H83" s="57"/>
      <c r="I83" s="57"/>
      <c r="J83" s="57"/>
      <c r="K83" s="57"/>
      <c r="L83" s="57"/>
      <c r="M83" s="57"/>
      <c r="N83" s="131">
        <f t="shared" si="9"/>
        <v>0</v>
      </c>
      <c r="O83" s="57"/>
      <c r="P83" s="161"/>
    </row>
    <row r="84" spans="1:17" x14ac:dyDescent="0.2">
      <c r="A84" s="209" t="s">
        <v>270</v>
      </c>
      <c r="B84" s="57"/>
      <c r="C84" s="57">
        <v>0</v>
      </c>
      <c r="D84" s="57">
        <v>0</v>
      </c>
      <c r="E84" s="57">
        <v>0</v>
      </c>
      <c r="F84" s="57">
        <v>0</v>
      </c>
      <c r="G84" s="57">
        <v>0</v>
      </c>
      <c r="H84" s="57"/>
      <c r="I84" s="57"/>
      <c r="J84" s="57"/>
      <c r="K84" s="57"/>
      <c r="L84" s="57"/>
      <c r="M84" s="57"/>
      <c r="N84" s="131">
        <f t="shared" si="9"/>
        <v>0</v>
      </c>
      <c r="O84" s="57"/>
      <c r="P84" s="161"/>
    </row>
    <row r="85" spans="1:17" x14ac:dyDescent="0.2">
      <c r="A85" s="209" t="s">
        <v>186</v>
      </c>
      <c r="B85" s="57">
        <v>166400</v>
      </c>
      <c r="C85" s="57">
        <v>663000</v>
      </c>
      <c r="D85" s="57">
        <v>0</v>
      </c>
      <c r="E85" s="57">
        <v>327600</v>
      </c>
      <c r="F85" s="57">
        <v>414000</v>
      </c>
      <c r="G85" s="57">
        <v>270000</v>
      </c>
      <c r="H85" s="57"/>
      <c r="I85" s="57"/>
      <c r="J85" s="57"/>
      <c r="K85" s="57"/>
      <c r="L85" s="57"/>
      <c r="M85" s="57"/>
      <c r="N85" s="131">
        <f t="shared" si="9"/>
        <v>1841000</v>
      </c>
      <c r="O85" s="57"/>
      <c r="P85" s="161"/>
    </row>
    <row r="86" spans="1:17" x14ac:dyDescent="0.2">
      <c r="A86" s="209" t="s">
        <v>276</v>
      </c>
      <c r="B86" s="57"/>
      <c r="C86" s="57"/>
      <c r="D86" s="57"/>
      <c r="E86" s="57">
        <v>0</v>
      </c>
      <c r="F86" s="57">
        <v>0</v>
      </c>
      <c r="G86" s="57">
        <v>0</v>
      </c>
      <c r="H86" s="57"/>
      <c r="I86" s="57"/>
      <c r="J86" s="57"/>
      <c r="K86" s="57"/>
      <c r="L86" s="57"/>
      <c r="M86" s="57"/>
      <c r="N86" s="131">
        <f t="shared" si="9"/>
        <v>0</v>
      </c>
      <c r="O86" s="57"/>
      <c r="P86" s="161"/>
    </row>
    <row r="87" spans="1:17" x14ac:dyDescent="0.2">
      <c r="A87" s="210" t="s">
        <v>28</v>
      </c>
      <c r="B87" s="57">
        <v>0</v>
      </c>
      <c r="C87" s="57">
        <v>0</v>
      </c>
      <c r="D87" s="57">
        <v>0</v>
      </c>
      <c r="E87" s="57">
        <v>0</v>
      </c>
      <c r="F87" s="57">
        <v>0</v>
      </c>
      <c r="G87" s="57">
        <v>0</v>
      </c>
      <c r="H87" s="57"/>
      <c r="I87" s="57"/>
      <c r="J87" s="57"/>
      <c r="K87" s="57"/>
      <c r="L87" s="57"/>
      <c r="M87" s="57"/>
      <c r="N87" s="131">
        <f t="shared" si="9"/>
        <v>0</v>
      </c>
      <c r="O87" s="57"/>
      <c r="P87" s="161"/>
    </row>
    <row r="88" spans="1:17" x14ac:dyDescent="0.2">
      <c r="A88" s="210" t="s">
        <v>121</v>
      </c>
      <c r="B88" s="57">
        <v>0</v>
      </c>
      <c r="C88" s="57">
        <v>0</v>
      </c>
      <c r="D88" s="57">
        <v>0</v>
      </c>
      <c r="E88" s="57">
        <v>0</v>
      </c>
      <c r="F88" s="57">
        <v>0</v>
      </c>
      <c r="G88" s="57">
        <v>206360</v>
      </c>
      <c r="H88" s="57"/>
      <c r="I88" s="57"/>
      <c r="J88" s="57"/>
      <c r="K88" s="57"/>
      <c r="L88" s="57"/>
      <c r="M88" s="57"/>
      <c r="N88" s="131">
        <f t="shared" si="9"/>
        <v>206360</v>
      </c>
      <c r="O88" s="57"/>
      <c r="P88" s="161"/>
    </row>
    <row r="89" spans="1:17" x14ac:dyDescent="0.2">
      <c r="A89" s="210" t="s">
        <v>111</v>
      </c>
      <c r="B89" s="57">
        <v>0</v>
      </c>
      <c r="C89" s="57">
        <v>0</v>
      </c>
      <c r="D89" s="57">
        <v>0</v>
      </c>
      <c r="E89" s="57">
        <v>0</v>
      </c>
      <c r="F89" s="57">
        <v>0</v>
      </c>
      <c r="G89" s="57">
        <v>0</v>
      </c>
      <c r="H89" s="57"/>
      <c r="I89" s="57"/>
      <c r="J89" s="57"/>
      <c r="K89" s="57"/>
      <c r="L89" s="57"/>
      <c r="M89" s="57"/>
      <c r="N89" s="131">
        <f t="shared" si="9"/>
        <v>0</v>
      </c>
      <c r="O89" s="57"/>
      <c r="P89" s="161"/>
    </row>
    <row r="90" spans="1:17" x14ac:dyDescent="0.2">
      <c r="A90" s="210" t="s">
        <v>220</v>
      </c>
      <c r="B90" s="57">
        <v>9753.75</v>
      </c>
      <c r="C90" s="57">
        <v>10091.900000000001</v>
      </c>
      <c r="D90" s="57">
        <v>9266.9</v>
      </c>
      <c r="E90" s="57">
        <v>21420.7</v>
      </c>
      <c r="F90" s="57">
        <v>9560.85</v>
      </c>
      <c r="G90" s="57">
        <v>9560.85</v>
      </c>
      <c r="H90" s="57"/>
      <c r="I90" s="57"/>
      <c r="J90" s="57"/>
      <c r="K90" s="57"/>
      <c r="L90" s="57"/>
      <c r="M90" s="57"/>
      <c r="N90" s="131">
        <f t="shared" si="9"/>
        <v>69654.95</v>
      </c>
      <c r="O90" s="57"/>
      <c r="P90" s="161"/>
    </row>
    <row r="91" spans="1:17" ht="11.25" customHeight="1" x14ac:dyDescent="0.2">
      <c r="A91" s="210" t="s">
        <v>68</v>
      </c>
      <c r="B91" s="57">
        <v>10061.050000000001</v>
      </c>
      <c r="C91" s="57">
        <v>11801.6</v>
      </c>
      <c r="D91" s="57">
        <v>11923.35</v>
      </c>
      <c r="E91" s="57">
        <v>0</v>
      </c>
      <c r="F91" s="57">
        <v>11990.95</v>
      </c>
      <c r="G91" s="57">
        <v>11947.900000000001</v>
      </c>
      <c r="H91" s="57"/>
      <c r="I91" s="57"/>
      <c r="J91" s="57"/>
      <c r="K91" s="57"/>
      <c r="L91" s="57"/>
      <c r="M91" s="57"/>
      <c r="N91" s="131">
        <f t="shared" si="9"/>
        <v>57724.85</v>
      </c>
      <c r="O91" s="57"/>
      <c r="P91" s="161"/>
    </row>
    <row r="92" spans="1:17" x14ac:dyDescent="0.2">
      <c r="A92" s="210" t="s">
        <v>187</v>
      </c>
      <c r="B92" s="57">
        <v>30186.9</v>
      </c>
      <c r="C92" s="57">
        <v>181396.80000000002</v>
      </c>
      <c r="D92" s="57">
        <v>0</v>
      </c>
      <c r="E92" s="57">
        <v>0</v>
      </c>
      <c r="F92" s="57">
        <v>0</v>
      </c>
      <c r="G92" s="57">
        <v>44150.100000000006</v>
      </c>
      <c r="H92" s="57"/>
      <c r="I92" s="57"/>
      <c r="J92" s="57"/>
      <c r="K92" s="57"/>
      <c r="L92" s="57"/>
      <c r="M92" s="57"/>
      <c r="N92" s="131">
        <f t="shared" si="9"/>
        <v>255733.80000000002</v>
      </c>
      <c r="O92" s="57"/>
      <c r="P92" s="161"/>
    </row>
    <row r="93" spans="1:17" x14ac:dyDescent="0.2">
      <c r="A93" s="210" t="s">
        <v>188</v>
      </c>
      <c r="B93" s="57">
        <v>313830.75</v>
      </c>
      <c r="C93" s="57">
        <v>200867.84999999998</v>
      </c>
      <c r="D93" s="57">
        <v>27108.300000000003</v>
      </c>
      <c r="E93" s="57">
        <v>29180.400000000001</v>
      </c>
      <c r="F93" s="57">
        <v>101611.79999999999</v>
      </c>
      <c r="G93" s="57">
        <v>32678.400000000001</v>
      </c>
      <c r="H93" s="57"/>
      <c r="I93" s="57"/>
      <c r="J93" s="57"/>
      <c r="K93" s="57"/>
      <c r="L93" s="57"/>
      <c r="M93" s="57"/>
      <c r="N93" s="131">
        <f t="shared" si="9"/>
        <v>705277.50000000012</v>
      </c>
      <c r="O93" s="57"/>
      <c r="P93" s="161"/>
    </row>
    <row r="94" spans="1:17" x14ac:dyDescent="0.2">
      <c r="A94" s="210" t="s">
        <v>263</v>
      </c>
      <c r="B94" s="57">
        <v>628950</v>
      </c>
      <c r="C94" s="57">
        <v>0</v>
      </c>
      <c r="D94" s="57">
        <v>0</v>
      </c>
      <c r="E94" s="57">
        <v>0</v>
      </c>
      <c r="F94" s="57">
        <v>0</v>
      </c>
      <c r="G94" s="57">
        <v>0</v>
      </c>
      <c r="H94" s="57"/>
      <c r="I94" s="57"/>
      <c r="J94" s="57"/>
      <c r="K94" s="57"/>
      <c r="L94" s="57"/>
      <c r="M94" s="57"/>
      <c r="N94" s="131">
        <f t="shared" si="9"/>
        <v>628950</v>
      </c>
      <c r="O94" s="57"/>
      <c r="P94" s="161"/>
    </row>
    <row r="95" spans="1:17" x14ac:dyDescent="0.2">
      <c r="A95" s="200" t="s">
        <v>108</v>
      </c>
      <c r="B95" s="57">
        <v>0</v>
      </c>
      <c r="C95" s="57">
        <v>0</v>
      </c>
      <c r="D95" s="57">
        <v>0</v>
      </c>
      <c r="E95" s="57">
        <v>0</v>
      </c>
      <c r="F95" s="57">
        <v>0</v>
      </c>
      <c r="G95" s="57">
        <v>0</v>
      </c>
      <c r="H95" s="57"/>
      <c r="I95" s="57"/>
      <c r="J95" s="57"/>
      <c r="K95" s="57"/>
      <c r="L95" s="57"/>
      <c r="M95" s="57"/>
      <c r="N95" s="131">
        <f t="shared" si="9"/>
        <v>0</v>
      </c>
      <c r="O95" s="57"/>
      <c r="P95" s="161"/>
    </row>
    <row r="96" spans="1:17" x14ac:dyDescent="0.2">
      <c r="A96" s="200" t="s">
        <v>155</v>
      </c>
      <c r="B96" s="57">
        <v>0</v>
      </c>
      <c r="C96" s="57">
        <v>76800</v>
      </c>
      <c r="D96" s="57">
        <v>9600</v>
      </c>
      <c r="E96" s="57">
        <v>21120</v>
      </c>
      <c r="F96" s="57">
        <v>0</v>
      </c>
      <c r="G96" s="57">
        <v>7200</v>
      </c>
      <c r="H96" s="57"/>
      <c r="I96" s="57"/>
      <c r="J96" s="57"/>
      <c r="K96" s="57"/>
      <c r="L96" s="57"/>
      <c r="M96" s="57"/>
      <c r="N96" s="131">
        <f t="shared" si="9"/>
        <v>114720</v>
      </c>
      <c r="O96" s="57"/>
      <c r="P96" s="161"/>
      <c r="Q96" s="203"/>
    </row>
    <row r="97" spans="1:16" x14ac:dyDescent="0.2">
      <c r="A97" s="195" t="s">
        <v>115</v>
      </c>
      <c r="B97" s="57">
        <v>0</v>
      </c>
      <c r="C97" s="57">
        <v>0</v>
      </c>
      <c r="D97" s="57">
        <v>0</v>
      </c>
      <c r="E97" s="57">
        <v>0</v>
      </c>
      <c r="F97" s="57">
        <v>0</v>
      </c>
      <c r="G97" s="57">
        <v>0</v>
      </c>
      <c r="H97" s="57"/>
      <c r="I97" s="57"/>
      <c r="J97" s="57"/>
      <c r="K97" s="57"/>
      <c r="L97" s="57"/>
      <c r="M97" s="57"/>
      <c r="N97" s="131">
        <f t="shared" si="9"/>
        <v>0</v>
      </c>
      <c r="O97" s="57"/>
      <c r="P97" s="161"/>
    </row>
    <row r="98" spans="1:16" x14ac:dyDescent="0.2">
      <c r="A98" s="195" t="s">
        <v>72</v>
      </c>
      <c r="B98" s="57">
        <v>0</v>
      </c>
      <c r="C98" s="57">
        <v>0</v>
      </c>
      <c r="D98" s="57">
        <v>0</v>
      </c>
      <c r="E98" s="57">
        <v>0</v>
      </c>
      <c r="F98" s="57">
        <v>108500</v>
      </c>
      <c r="G98" s="57">
        <v>0</v>
      </c>
      <c r="H98" s="57"/>
      <c r="I98" s="57"/>
      <c r="J98" s="57"/>
      <c r="K98" s="57"/>
      <c r="L98" s="57"/>
      <c r="M98" s="57"/>
      <c r="N98" s="131">
        <f t="shared" si="9"/>
        <v>108500</v>
      </c>
      <c r="O98" s="57"/>
      <c r="P98" s="161"/>
    </row>
    <row r="99" spans="1:16" x14ac:dyDescent="0.2">
      <c r="A99" s="195" t="s">
        <v>52</v>
      </c>
      <c r="B99" s="57">
        <v>2449</v>
      </c>
      <c r="C99" s="57">
        <v>0</v>
      </c>
      <c r="D99" s="57">
        <v>640057</v>
      </c>
      <c r="E99" s="57">
        <v>2449</v>
      </c>
      <c r="F99" s="57">
        <v>145855</v>
      </c>
      <c r="G99" s="57">
        <v>0</v>
      </c>
      <c r="H99" s="57"/>
      <c r="I99" s="57"/>
      <c r="J99" s="57"/>
      <c r="K99" s="57"/>
      <c r="L99" s="57"/>
      <c r="M99" s="57"/>
      <c r="N99" s="131">
        <f t="shared" si="9"/>
        <v>790810</v>
      </c>
      <c r="O99" s="57"/>
      <c r="P99" s="161"/>
    </row>
    <row r="100" spans="1:16" x14ac:dyDescent="0.2">
      <c r="A100" s="195" t="s">
        <v>189</v>
      </c>
      <c r="B100" s="57">
        <v>0</v>
      </c>
      <c r="C100" s="57">
        <v>32536.980000000003</v>
      </c>
      <c r="D100" s="57">
        <v>0</v>
      </c>
      <c r="E100" s="57">
        <v>75801.820000000007</v>
      </c>
      <c r="F100" s="57">
        <v>0</v>
      </c>
      <c r="G100" s="57">
        <v>0</v>
      </c>
      <c r="H100" s="57"/>
      <c r="I100" s="57"/>
      <c r="J100" s="57"/>
      <c r="K100" s="57"/>
      <c r="L100" s="57"/>
      <c r="M100" s="57"/>
      <c r="N100" s="131">
        <f t="shared" si="9"/>
        <v>108338.80000000002</v>
      </c>
      <c r="O100" s="57"/>
      <c r="P100" s="161"/>
    </row>
    <row r="101" spans="1:16" x14ac:dyDescent="0.2">
      <c r="A101" s="195" t="s">
        <v>190</v>
      </c>
      <c r="B101" s="57">
        <v>0</v>
      </c>
      <c r="C101" s="57">
        <v>0</v>
      </c>
      <c r="D101" s="57">
        <v>0</v>
      </c>
      <c r="E101" s="57">
        <v>0</v>
      </c>
      <c r="F101" s="57">
        <v>0</v>
      </c>
      <c r="G101" s="57">
        <v>0</v>
      </c>
      <c r="H101" s="57"/>
      <c r="I101" s="57"/>
      <c r="J101" s="57"/>
      <c r="K101" s="57"/>
      <c r="L101" s="57"/>
      <c r="M101" s="57"/>
      <c r="N101" s="131">
        <f t="shared" si="9"/>
        <v>0</v>
      </c>
      <c r="O101" s="57"/>
      <c r="P101" s="161"/>
    </row>
    <row r="102" spans="1:16" x14ac:dyDescent="0.2">
      <c r="A102" s="195" t="s">
        <v>6</v>
      </c>
      <c r="B102" s="57">
        <v>0</v>
      </c>
      <c r="C102" s="57">
        <v>0</v>
      </c>
      <c r="D102" s="57">
        <v>0</v>
      </c>
      <c r="E102" s="57">
        <v>0</v>
      </c>
      <c r="F102" s="57">
        <v>0</v>
      </c>
      <c r="G102" s="57">
        <v>0</v>
      </c>
      <c r="H102" s="57"/>
      <c r="I102" s="57"/>
      <c r="J102" s="57"/>
      <c r="K102" s="57"/>
      <c r="L102" s="57"/>
      <c r="M102" s="57"/>
      <c r="N102" s="131">
        <f t="shared" si="9"/>
        <v>0</v>
      </c>
      <c r="O102" s="57"/>
      <c r="P102" s="161"/>
    </row>
    <row r="103" spans="1:16" x14ac:dyDescent="0.2">
      <c r="A103" s="195" t="s">
        <v>191</v>
      </c>
      <c r="B103" s="57">
        <v>30236.960000000003</v>
      </c>
      <c r="C103" s="57">
        <v>30236.960000000003</v>
      </c>
      <c r="D103" s="57">
        <v>30236.960000000003</v>
      </c>
      <c r="E103" s="57">
        <v>30236.960000000003</v>
      </c>
      <c r="F103" s="57">
        <v>30236.960000000003</v>
      </c>
      <c r="G103" s="57">
        <v>61787.680000000008</v>
      </c>
      <c r="H103" s="57"/>
      <c r="I103" s="57"/>
      <c r="J103" s="57"/>
      <c r="K103" s="57"/>
      <c r="L103" s="57"/>
      <c r="M103" s="57"/>
      <c r="N103" s="131">
        <f t="shared" si="9"/>
        <v>212972.48000000004</v>
      </c>
      <c r="O103" s="57"/>
      <c r="P103" s="161"/>
    </row>
    <row r="104" spans="1:16" x14ac:dyDescent="0.2">
      <c r="A104" s="195" t="s">
        <v>269</v>
      </c>
      <c r="B104" s="57"/>
      <c r="C104" s="57">
        <v>8330131</v>
      </c>
      <c r="D104" s="57">
        <v>596131</v>
      </c>
      <c r="E104" s="57">
        <v>3934</v>
      </c>
      <c r="F104" s="57">
        <v>155491</v>
      </c>
      <c r="G104" s="57">
        <v>301994</v>
      </c>
      <c r="H104" s="57"/>
      <c r="I104" s="57"/>
      <c r="J104" s="57"/>
      <c r="K104" s="57"/>
      <c r="L104" s="57"/>
      <c r="M104" s="57"/>
      <c r="N104" s="131">
        <f t="shared" si="9"/>
        <v>9387681</v>
      </c>
      <c r="O104" s="57"/>
      <c r="P104" s="161"/>
    </row>
    <row r="105" spans="1:16" x14ac:dyDescent="0.2">
      <c r="A105" s="195" t="s">
        <v>192</v>
      </c>
      <c r="B105" s="57">
        <v>0</v>
      </c>
      <c r="C105" s="57">
        <v>149114.70000000001</v>
      </c>
      <c r="D105" s="57">
        <v>43397.130000000005</v>
      </c>
      <c r="E105" s="57">
        <v>20852.160000000003</v>
      </c>
      <c r="F105" s="57">
        <v>9867.9</v>
      </c>
      <c r="G105" s="57">
        <v>167961.15</v>
      </c>
      <c r="H105" s="57"/>
      <c r="I105" s="57"/>
      <c r="J105" s="57"/>
      <c r="K105" s="57"/>
      <c r="L105" s="57"/>
      <c r="M105" s="57"/>
      <c r="N105" s="131">
        <f t="shared" si="9"/>
        <v>391193.04000000004</v>
      </c>
      <c r="O105" s="57"/>
      <c r="P105" s="161"/>
    </row>
    <row r="106" spans="1:16" x14ac:dyDescent="0.2">
      <c r="A106" s="195" t="s">
        <v>247</v>
      </c>
      <c r="B106" s="57">
        <v>45196.41</v>
      </c>
      <c r="C106" s="57">
        <v>49897.89</v>
      </c>
      <c r="D106" s="57">
        <v>64839.390000000007</v>
      </c>
      <c r="E106" s="57">
        <v>29107.47</v>
      </c>
      <c r="F106" s="57">
        <v>48472.62</v>
      </c>
      <c r="G106" s="57">
        <v>0</v>
      </c>
      <c r="H106" s="57"/>
      <c r="I106" s="57"/>
      <c r="J106" s="57"/>
      <c r="K106" s="57"/>
      <c r="L106" s="57"/>
      <c r="M106" s="57"/>
      <c r="N106" s="131">
        <f t="shared" si="9"/>
        <v>237513.78</v>
      </c>
      <c r="O106" s="57"/>
      <c r="P106" s="161"/>
    </row>
    <row r="107" spans="1:16" x14ac:dyDescent="0.2">
      <c r="A107" s="195" t="s">
        <v>48</v>
      </c>
      <c r="B107" s="57">
        <v>58044</v>
      </c>
      <c r="C107" s="57">
        <v>86520</v>
      </c>
      <c r="D107" s="57">
        <v>50326.5</v>
      </c>
      <c r="E107" s="57">
        <v>28980</v>
      </c>
      <c r="F107" s="57">
        <v>51576</v>
      </c>
      <c r="G107" s="57">
        <v>30450</v>
      </c>
      <c r="H107" s="57"/>
      <c r="I107" s="57"/>
      <c r="J107" s="57"/>
      <c r="K107" s="57"/>
      <c r="L107" s="57"/>
      <c r="M107" s="57"/>
      <c r="N107" s="131">
        <f t="shared" si="9"/>
        <v>305896.5</v>
      </c>
      <c r="O107" s="57"/>
      <c r="P107" s="161"/>
    </row>
    <row r="108" spans="1:16" x14ac:dyDescent="0.2">
      <c r="A108" s="195" t="s">
        <v>49</v>
      </c>
      <c r="B108" s="57">
        <v>1302.6200000000001</v>
      </c>
      <c r="C108" s="57">
        <v>6262.6200000000008</v>
      </c>
      <c r="D108" s="57">
        <v>1302.6200000000001</v>
      </c>
      <c r="E108" s="57">
        <v>7424.1900000000005</v>
      </c>
      <c r="F108" s="57">
        <v>1302.6200000000001</v>
      </c>
      <c r="G108" s="57">
        <v>3907.55</v>
      </c>
      <c r="H108" s="57"/>
      <c r="I108" s="57"/>
      <c r="J108" s="57"/>
      <c r="K108" s="57"/>
      <c r="L108" s="57"/>
      <c r="M108" s="57"/>
      <c r="N108" s="131">
        <f t="shared" si="9"/>
        <v>21502.22</v>
      </c>
      <c r="O108" s="57"/>
      <c r="P108" s="161"/>
    </row>
    <row r="109" spans="1:16" x14ac:dyDescent="0.2">
      <c r="A109" s="195" t="s">
        <v>193</v>
      </c>
      <c r="B109" s="57">
        <v>223529</v>
      </c>
      <c r="C109" s="57">
        <v>1530000</v>
      </c>
      <c r="D109" s="57">
        <v>361102</v>
      </c>
      <c r="E109" s="57">
        <v>351136</v>
      </c>
      <c r="F109" s="57">
        <v>404481</v>
      </c>
      <c r="G109" s="57">
        <v>1502510</v>
      </c>
      <c r="H109" s="57"/>
      <c r="I109" s="57"/>
      <c r="J109" s="57"/>
      <c r="K109" s="57"/>
      <c r="L109" s="57"/>
      <c r="M109" s="57"/>
      <c r="N109" s="131">
        <f t="shared" si="9"/>
        <v>4372758</v>
      </c>
      <c r="O109" s="57"/>
      <c r="P109" s="161"/>
    </row>
    <row r="110" spans="1:16" x14ac:dyDescent="0.2">
      <c r="A110" s="195" t="s">
        <v>281</v>
      </c>
      <c r="B110" s="57">
        <v>0</v>
      </c>
      <c r="C110" s="57">
        <v>2760000</v>
      </c>
      <c r="D110" s="57">
        <v>2880000</v>
      </c>
      <c r="E110" s="57">
        <v>4500000</v>
      </c>
      <c r="F110" s="57">
        <v>3120000</v>
      </c>
      <c r="G110" s="57">
        <v>3240000</v>
      </c>
      <c r="H110" s="57"/>
      <c r="I110" s="57"/>
      <c r="J110" s="57"/>
      <c r="K110" s="57"/>
      <c r="L110" s="57"/>
      <c r="M110" s="57"/>
      <c r="N110" s="131">
        <f t="shared" si="9"/>
        <v>16500000</v>
      </c>
      <c r="O110" s="57"/>
      <c r="P110" s="161"/>
    </row>
    <row r="111" spans="1:16" x14ac:dyDescent="0.2">
      <c r="A111" s="195" t="s">
        <v>282</v>
      </c>
      <c r="B111" s="57">
        <v>103616</v>
      </c>
      <c r="C111" s="57">
        <v>10763677</v>
      </c>
      <c r="D111" s="57">
        <v>10307300</v>
      </c>
      <c r="E111" s="57">
        <v>11088200</v>
      </c>
      <c r="F111" s="57">
        <v>11685600</v>
      </c>
      <c r="G111" s="57">
        <f>1308000+10557000</f>
        <v>11865000</v>
      </c>
      <c r="H111" s="57"/>
      <c r="I111" s="57"/>
      <c r="J111" s="57"/>
      <c r="K111" s="57"/>
      <c r="L111" s="57"/>
      <c r="M111" s="57"/>
      <c r="N111" s="131">
        <f t="shared" si="9"/>
        <v>55813393</v>
      </c>
      <c r="O111" s="57"/>
      <c r="P111" s="161"/>
    </row>
    <row r="112" spans="1:16" x14ac:dyDescent="0.2">
      <c r="A112" s="195" t="s">
        <v>265</v>
      </c>
      <c r="B112" s="57">
        <v>0</v>
      </c>
      <c r="C112" s="57">
        <v>0</v>
      </c>
      <c r="D112" s="57">
        <v>0</v>
      </c>
      <c r="E112" s="57">
        <v>0</v>
      </c>
      <c r="F112" s="57">
        <v>0</v>
      </c>
      <c r="G112" s="57">
        <v>0</v>
      </c>
      <c r="H112" s="57"/>
      <c r="I112" s="57"/>
      <c r="J112" s="57"/>
      <c r="K112" s="57"/>
      <c r="L112" s="57"/>
      <c r="M112" s="57"/>
      <c r="N112" s="131">
        <f t="shared" si="9"/>
        <v>0</v>
      </c>
      <c r="O112" s="57"/>
      <c r="P112" s="161"/>
    </row>
    <row r="113" spans="1:17" x14ac:dyDescent="0.2">
      <c r="A113" s="195" t="s">
        <v>283</v>
      </c>
      <c r="B113" s="57">
        <v>0</v>
      </c>
      <c r="C113" s="57">
        <v>0</v>
      </c>
      <c r="D113" s="57">
        <v>0</v>
      </c>
      <c r="E113" s="57">
        <v>0</v>
      </c>
      <c r="F113" s="57">
        <v>0</v>
      </c>
      <c r="G113" s="57">
        <v>0</v>
      </c>
      <c r="H113" s="57"/>
      <c r="I113" s="57"/>
      <c r="J113" s="57"/>
      <c r="K113" s="57"/>
      <c r="L113" s="57"/>
      <c r="M113" s="57"/>
      <c r="N113" s="131">
        <f t="shared" si="9"/>
        <v>0</v>
      </c>
      <c r="O113" s="57"/>
      <c r="P113" s="161"/>
    </row>
    <row r="114" spans="1:17" x14ac:dyDescent="0.2">
      <c r="A114" s="195" t="s">
        <v>232</v>
      </c>
      <c r="B114" s="57">
        <v>0</v>
      </c>
      <c r="C114" s="57">
        <v>0</v>
      </c>
      <c r="D114" s="57">
        <v>0</v>
      </c>
      <c r="E114" s="57">
        <v>0</v>
      </c>
      <c r="F114" s="57">
        <v>0</v>
      </c>
      <c r="G114" s="57">
        <v>0</v>
      </c>
      <c r="H114" s="57"/>
      <c r="I114" s="57"/>
      <c r="J114" s="57"/>
      <c r="K114" s="57"/>
      <c r="L114" s="57"/>
      <c r="M114" s="57"/>
      <c r="N114" s="131">
        <f t="shared" si="9"/>
        <v>0</v>
      </c>
      <c r="O114" s="57"/>
      <c r="P114" s="161"/>
    </row>
    <row r="115" spans="1:17" x14ac:dyDescent="0.2">
      <c r="A115" s="200" t="s">
        <v>70</v>
      </c>
      <c r="B115" s="57">
        <v>0</v>
      </c>
      <c r="C115" s="57">
        <v>0</v>
      </c>
      <c r="D115" s="57">
        <v>0</v>
      </c>
      <c r="E115" s="57">
        <v>0</v>
      </c>
      <c r="F115" s="57">
        <v>0</v>
      </c>
      <c r="G115" s="57">
        <v>64201</v>
      </c>
      <c r="H115" s="57"/>
      <c r="I115" s="57"/>
      <c r="J115" s="57"/>
      <c r="K115" s="57"/>
      <c r="L115" s="57"/>
      <c r="M115" s="57"/>
      <c r="N115" s="131">
        <f t="shared" si="9"/>
        <v>64201</v>
      </c>
      <c r="O115" s="57"/>
      <c r="P115" s="161"/>
    </row>
    <row r="116" spans="1:17" x14ac:dyDescent="0.2">
      <c r="A116" s="211" t="s">
        <v>230</v>
      </c>
      <c r="B116" s="60">
        <f t="shared" ref="B116:N116" si="10">SUM(B81:B115)</f>
        <v>2544694.8400000003</v>
      </c>
      <c r="C116" s="60">
        <f t="shared" si="10"/>
        <v>26224829.359999999</v>
      </c>
      <c r="D116" s="60">
        <f t="shared" si="10"/>
        <v>16227285.210000001</v>
      </c>
      <c r="E116" s="60">
        <f t="shared" si="10"/>
        <v>17776579.890000001</v>
      </c>
      <c r="F116" s="60">
        <f t="shared" si="10"/>
        <v>17812333.129760001</v>
      </c>
      <c r="G116" s="60">
        <f t="shared" si="10"/>
        <v>19037274.885359999</v>
      </c>
      <c r="H116" s="60">
        <f t="shared" si="10"/>
        <v>0</v>
      </c>
      <c r="I116" s="60">
        <f t="shared" si="10"/>
        <v>0</v>
      </c>
      <c r="J116" s="60">
        <f t="shared" si="10"/>
        <v>0</v>
      </c>
      <c r="K116" s="60">
        <f t="shared" si="10"/>
        <v>0</v>
      </c>
      <c r="L116" s="60">
        <f t="shared" si="10"/>
        <v>0</v>
      </c>
      <c r="M116" s="60">
        <f t="shared" si="10"/>
        <v>0</v>
      </c>
      <c r="N116" s="60">
        <f t="shared" si="10"/>
        <v>99622997.315119997</v>
      </c>
      <c r="O116" s="129">
        <f>+N116/N139</f>
        <v>0.2371452954467769</v>
      </c>
      <c r="P116" s="161"/>
    </row>
    <row r="117" spans="1:17" x14ac:dyDescent="0.2">
      <c r="A117" s="212" t="s">
        <v>231</v>
      </c>
      <c r="B117" s="127"/>
      <c r="C117" s="127"/>
      <c r="D117" s="127"/>
      <c r="E117" s="127"/>
      <c r="F117" s="127"/>
      <c r="G117" s="127"/>
      <c r="H117" s="127"/>
      <c r="I117" s="127"/>
      <c r="J117" s="127"/>
      <c r="K117" s="127"/>
      <c r="L117" s="127"/>
      <c r="M117" s="127"/>
      <c r="N117" s="131"/>
      <c r="O117" s="127"/>
      <c r="P117" s="161">
        <v>9</v>
      </c>
    </row>
    <row r="118" spans="1:17" x14ac:dyDescent="0.2">
      <c r="A118" s="195" t="s">
        <v>69</v>
      </c>
      <c r="B118" s="57">
        <f>+'EJECUCION SOC ENE 24'!K11</f>
        <v>7469862.4000000004</v>
      </c>
      <c r="C118" s="57">
        <f>+'EJECUCION SOC FEB 24'!K12</f>
        <v>11094033.48</v>
      </c>
      <c r="D118" s="57">
        <f>+'EJECUCION SOCIAL MARZO 24'!K12</f>
        <v>9878969.4800000004</v>
      </c>
      <c r="E118" s="57">
        <f>+'EJECUCION SOCIAL ABRIL 24'!K12</f>
        <v>11249716.58</v>
      </c>
      <c r="F118" s="57">
        <f>+'EJECUCION SOCIAL MAY 24'!K12</f>
        <v>13276667.944800001</v>
      </c>
      <c r="G118" s="57">
        <f>+'EJECUCION SOCIAL JUN 24'!K12</f>
        <v>10449228.1328</v>
      </c>
      <c r="H118" s="57"/>
      <c r="I118" s="57"/>
      <c r="J118" s="57"/>
      <c r="K118" s="57"/>
      <c r="L118" s="57"/>
      <c r="M118" s="57"/>
      <c r="N118" s="131">
        <f>SUM(B118:M118)</f>
        <v>63418478.0176</v>
      </c>
      <c r="O118" s="57"/>
      <c r="P118" s="161"/>
      <c r="Q118" s="203"/>
    </row>
    <row r="119" spans="1:17" ht="11.25" customHeight="1" x14ac:dyDescent="0.2">
      <c r="A119" s="210" t="s">
        <v>253</v>
      </c>
      <c r="B119" s="57">
        <f>+'EJECUCION SOC ENE 24'!K44</f>
        <v>1135254</v>
      </c>
      <c r="C119" s="57">
        <f>+'EJECUCION SOC FEB 24'!K47</f>
        <v>1644585.08</v>
      </c>
      <c r="D119" s="57">
        <f>+'EJECUCION SOCIAL MARZO 24'!K47</f>
        <v>1395577.24</v>
      </c>
      <c r="E119" s="57">
        <f>+'EJECUCION SOCIAL ABRIL 24'!K50</f>
        <v>1384412.7199999997</v>
      </c>
      <c r="F119" s="57">
        <f>+'EJECUCION SOCIAL MAY 24'!K50</f>
        <v>1456500.2399999998</v>
      </c>
      <c r="G119" s="57">
        <f>+'EJECUCION SOCIAL JUN 24'!K50</f>
        <v>1643992.72</v>
      </c>
      <c r="H119" s="57"/>
      <c r="I119" s="57"/>
      <c r="J119" s="57"/>
      <c r="K119" s="57"/>
      <c r="L119" s="57"/>
      <c r="M119" s="57"/>
      <c r="N119" s="131">
        <f t="shared" ref="N119:N120" si="11">SUM(B119:M119)</f>
        <v>8660322</v>
      </c>
      <c r="O119" s="57"/>
      <c r="P119" s="161"/>
    </row>
    <row r="120" spans="1:17" ht="11.25" customHeight="1" x14ac:dyDescent="0.2">
      <c r="A120" s="210" t="s">
        <v>252</v>
      </c>
      <c r="B120" s="57">
        <f>+'EJECUCION SOC ENE 24'!B56</f>
        <v>91429</v>
      </c>
      <c r="C120" s="57">
        <f>+'EJECUCION SOC FEB 24'!B59</f>
        <v>6104932</v>
      </c>
      <c r="D120" s="57">
        <f>+'EJECUCION SOCIAL MARZO 24'!B60</f>
        <v>17519158</v>
      </c>
      <c r="E120" s="57">
        <f>+'EJECUCION SOCIAL ABRIL 24'!B62</f>
        <v>15191596</v>
      </c>
      <c r="F120" s="57">
        <f>+'EJECUCION SOCIAL MAY 24'!B62</f>
        <v>15398844</v>
      </c>
      <c r="G120" s="57">
        <f>+'EJECUCION SOCIAL JUN 24'!B62</f>
        <v>13033208</v>
      </c>
      <c r="H120" s="57"/>
      <c r="I120" s="57"/>
      <c r="J120" s="57"/>
      <c r="K120" s="57"/>
      <c r="L120" s="57"/>
      <c r="M120" s="57"/>
      <c r="N120" s="131">
        <f t="shared" si="11"/>
        <v>67339167</v>
      </c>
      <c r="O120" s="57"/>
      <c r="P120" s="161"/>
    </row>
    <row r="121" spans="1:17" s="198" customFormat="1" x14ac:dyDescent="0.2">
      <c r="A121" s="202" t="s">
        <v>233</v>
      </c>
      <c r="B121" s="60">
        <f t="shared" ref="B121:N121" si="12">SUM(B118:B120)</f>
        <v>8696545.4000000004</v>
      </c>
      <c r="C121" s="60">
        <f t="shared" si="12"/>
        <v>18843550.560000002</v>
      </c>
      <c r="D121" s="60">
        <f t="shared" si="12"/>
        <v>28793704.719999999</v>
      </c>
      <c r="E121" s="60">
        <f t="shared" si="12"/>
        <v>27825725.300000001</v>
      </c>
      <c r="F121" s="60">
        <f t="shared" si="12"/>
        <v>30132012.184799999</v>
      </c>
      <c r="G121" s="60">
        <f t="shared" si="12"/>
        <v>25126428.8528</v>
      </c>
      <c r="H121" s="60">
        <f t="shared" si="12"/>
        <v>0</v>
      </c>
      <c r="I121" s="60">
        <f t="shared" si="12"/>
        <v>0</v>
      </c>
      <c r="J121" s="60">
        <f t="shared" si="12"/>
        <v>0</v>
      </c>
      <c r="K121" s="60">
        <f t="shared" si="12"/>
        <v>0</v>
      </c>
      <c r="L121" s="60">
        <f t="shared" si="12"/>
        <v>0</v>
      </c>
      <c r="M121" s="60">
        <f t="shared" si="12"/>
        <v>0</v>
      </c>
      <c r="N121" s="153">
        <f t="shared" si="12"/>
        <v>139417967.0176</v>
      </c>
      <c r="O121" s="129">
        <f>+N121/N139</f>
        <v>0.33187432490509705</v>
      </c>
      <c r="P121" s="160"/>
      <c r="Q121" s="205"/>
    </row>
    <row r="122" spans="1:17" s="198" customFormat="1" x14ac:dyDescent="0.2">
      <c r="A122" s="197" t="s">
        <v>290</v>
      </c>
      <c r="B122" s="155"/>
      <c r="C122" s="155"/>
      <c r="D122" s="155"/>
      <c r="E122" s="155"/>
      <c r="F122" s="155">
        <v>40308892</v>
      </c>
      <c r="G122" s="155"/>
      <c r="H122" s="155"/>
      <c r="I122" s="155"/>
      <c r="J122" s="155"/>
      <c r="K122" s="155"/>
      <c r="L122" s="155"/>
      <c r="M122" s="155"/>
      <c r="N122" s="174">
        <v>40308892</v>
      </c>
      <c r="O122" s="128"/>
      <c r="P122" s="160"/>
      <c r="Q122" s="205"/>
    </row>
    <row r="123" spans="1:17" s="198" customFormat="1" x14ac:dyDescent="0.2">
      <c r="A123" s="183" t="s">
        <v>289</v>
      </c>
      <c r="B123" s="175"/>
      <c r="C123" s="175"/>
      <c r="D123" s="175"/>
      <c r="E123" s="175"/>
      <c r="F123" s="175">
        <f>+F121-F122</f>
        <v>-10176879.815200001</v>
      </c>
      <c r="G123" s="175"/>
      <c r="H123" s="175"/>
      <c r="I123" s="175"/>
      <c r="J123" s="175"/>
      <c r="K123" s="175"/>
      <c r="L123" s="175"/>
      <c r="M123" s="175"/>
      <c r="N123" s="176">
        <f>+N121-N122</f>
        <v>99109075.0176</v>
      </c>
      <c r="O123" s="128"/>
      <c r="P123" s="160"/>
      <c r="Q123" s="205"/>
    </row>
    <row r="124" spans="1:17" s="198" customFormat="1" x14ac:dyDescent="0.2">
      <c r="A124" s="213" t="s">
        <v>235</v>
      </c>
      <c r="B124" s="58"/>
      <c r="C124" s="58"/>
      <c r="D124" s="58"/>
      <c r="E124" s="58"/>
      <c r="F124" s="58"/>
      <c r="G124" s="58"/>
      <c r="H124" s="58"/>
      <c r="I124" s="58"/>
      <c r="J124" s="58"/>
      <c r="K124" s="58"/>
      <c r="L124" s="58"/>
      <c r="M124" s="58"/>
      <c r="N124" s="59"/>
      <c r="O124" s="59"/>
      <c r="P124" s="160">
        <v>10</v>
      </c>
      <c r="Q124" s="205"/>
    </row>
    <row r="125" spans="1:17" s="198" customFormat="1" x14ac:dyDescent="0.2">
      <c r="A125" s="180" t="s">
        <v>237</v>
      </c>
      <c r="B125" s="131"/>
      <c r="C125" s="131"/>
      <c r="D125" s="131"/>
      <c r="E125" s="131"/>
      <c r="F125" s="131"/>
      <c r="G125" s="131"/>
      <c r="H125" s="131"/>
      <c r="I125" s="131"/>
      <c r="J125" s="131"/>
      <c r="K125" s="131"/>
      <c r="L125" s="131"/>
      <c r="M125" s="131"/>
      <c r="N125" s="130"/>
      <c r="O125" s="128"/>
      <c r="P125" s="160"/>
      <c r="Q125" s="205"/>
    </row>
    <row r="126" spans="1:17" s="198" customFormat="1" x14ac:dyDescent="0.2">
      <c r="A126" s="195" t="s">
        <v>69</v>
      </c>
      <c r="B126" s="57">
        <f>+'EJECUCION SOC ENE 24'!U11+'EJECUCION SOC ENE 24'!W11</f>
        <v>2434038</v>
      </c>
      <c r="C126" s="57">
        <f>+'EJECUCION SOC FEB 24'!U12+'EJECUCION SOC FEB 24'!W12</f>
        <v>3390495.66</v>
      </c>
      <c r="D126" s="57">
        <f>+'EJECUCION SOCIAL MARZO 24'!U12+'EJECUCION SOCIAL MARZO 24'!W12</f>
        <v>3192495.66</v>
      </c>
      <c r="E126" s="57">
        <f>+'EJECUCION SOCIAL ABRIL 24'!U12+'EJECUCION SOCIAL ABRIL 24'!W12</f>
        <v>3896148.3900000006</v>
      </c>
      <c r="F126" s="57">
        <f>+'EJECUCION SOCIAL MAY 24'!U12+'EJECUCION SOCIAL MAY 24'!W12</f>
        <v>4399478.94496</v>
      </c>
      <c r="G126" s="57">
        <f>+'EJECUCION SOCIAL JUN 24'!U12+'EJECUCION SOCIAL JUN 24'!W12</f>
        <v>3378612.4825599999</v>
      </c>
      <c r="H126" s="57"/>
      <c r="I126" s="57"/>
      <c r="J126" s="57"/>
      <c r="K126" s="57"/>
      <c r="L126" s="57"/>
      <c r="M126" s="57"/>
      <c r="N126" s="131">
        <f>SUM(B126:M126)</f>
        <v>20691269.13752</v>
      </c>
      <c r="O126" s="128"/>
      <c r="P126" s="160"/>
      <c r="Q126" s="205"/>
    </row>
    <row r="127" spans="1:17" s="198" customFormat="1" x14ac:dyDescent="0.2">
      <c r="A127" s="195" t="s">
        <v>71</v>
      </c>
      <c r="B127" s="57">
        <f>+'EJECUCION SOC ENE 24'!U44+'EJECUCION SOC ENE 24'!W44</f>
        <v>6033841.9399999995</v>
      </c>
      <c r="C127" s="57">
        <f>+'EJECUCION SOC FEB 24'!U47+'EJECUCION SOC FEB 24'!W47</f>
        <v>5534065.0999999996</v>
      </c>
      <c r="D127" s="57">
        <f>+'EJECUCION SOCIAL MARZO 24'!U47+'EJECUCION SOCIAL MARZO 24'!W47</f>
        <v>3005185.24</v>
      </c>
      <c r="E127" s="57">
        <f>+'EJECUCION SOCIAL ABRIL 24'!U50+'EJECUCION SOCIAL ABRIL 24'!W50</f>
        <v>2602750.0599999996</v>
      </c>
      <c r="F127" s="57">
        <f>+'EJECUCION SOCIAL MAY 24'!U50+'EJECUCION SOCIAL MAY 24'!W50</f>
        <v>3857309.2399999998</v>
      </c>
      <c r="G127" s="57">
        <f>+'EJECUCION SOCIAL JUN 24'!U50+'EJECUCION SOCIAL JUN 24'!W50</f>
        <v>3877839.540000001</v>
      </c>
      <c r="H127" s="57"/>
      <c r="I127" s="57"/>
      <c r="J127" s="57"/>
      <c r="K127" s="57"/>
      <c r="L127" s="57"/>
      <c r="M127" s="57"/>
      <c r="N127" s="131">
        <f t="shared" ref="N127:N128" si="13">SUM(B127:M127)</f>
        <v>24910991.119999997</v>
      </c>
      <c r="O127" s="128"/>
      <c r="P127" s="160"/>
      <c r="Q127" s="205"/>
    </row>
    <row r="128" spans="1:17" s="198" customFormat="1" x14ac:dyDescent="0.2">
      <c r="A128" s="195" t="s">
        <v>236</v>
      </c>
      <c r="B128" s="57">
        <v>43740109</v>
      </c>
      <c r="C128" s="57">
        <v>5500000</v>
      </c>
      <c r="D128" s="57">
        <v>2258000</v>
      </c>
      <c r="E128" s="57">
        <v>3000000</v>
      </c>
      <c r="F128" s="57">
        <v>3000000</v>
      </c>
      <c r="G128" s="57">
        <v>8000000</v>
      </c>
      <c r="H128" s="57"/>
      <c r="I128" s="57"/>
      <c r="J128" s="57"/>
      <c r="K128" s="57"/>
      <c r="L128" s="57"/>
      <c r="M128" s="57"/>
      <c r="N128" s="131">
        <f t="shared" si="13"/>
        <v>65498109</v>
      </c>
      <c r="O128" s="128"/>
      <c r="P128" s="160"/>
      <c r="Q128" s="205"/>
    </row>
    <row r="129" spans="1:18" s="198" customFormat="1" x14ac:dyDescent="0.2">
      <c r="A129" s="214" t="s">
        <v>238</v>
      </c>
      <c r="B129" s="60">
        <f>+B126+B127+B128</f>
        <v>52207988.939999998</v>
      </c>
      <c r="C129" s="60">
        <f t="shared" ref="C129:G129" si="14">+C126+C127+C128</f>
        <v>14424560.76</v>
      </c>
      <c r="D129" s="60">
        <f t="shared" si="14"/>
        <v>8455680.9000000004</v>
      </c>
      <c r="E129" s="60">
        <f t="shared" si="14"/>
        <v>9498898.4499999993</v>
      </c>
      <c r="F129" s="60">
        <f t="shared" si="14"/>
        <v>11256788.18496</v>
      </c>
      <c r="G129" s="60">
        <f t="shared" si="14"/>
        <v>15256452.02256</v>
      </c>
      <c r="H129" s="60">
        <f t="shared" ref="H129:N129" si="15">+H126+H127+H128</f>
        <v>0</v>
      </c>
      <c r="I129" s="60">
        <f t="shared" si="15"/>
        <v>0</v>
      </c>
      <c r="J129" s="60">
        <f t="shared" si="15"/>
        <v>0</v>
      </c>
      <c r="K129" s="60">
        <f t="shared" si="15"/>
        <v>0</v>
      </c>
      <c r="L129" s="60">
        <f t="shared" si="15"/>
        <v>0</v>
      </c>
      <c r="M129" s="60">
        <f t="shared" si="15"/>
        <v>0</v>
      </c>
      <c r="N129" s="60">
        <f t="shared" si="15"/>
        <v>111100369.25751999</v>
      </c>
      <c r="O129" s="129">
        <f>+N129/N139</f>
        <v>0.26446634413620335</v>
      </c>
      <c r="P129" s="160"/>
      <c r="Q129" s="205"/>
    </row>
    <row r="130" spans="1:18" s="198" customFormat="1" x14ac:dyDescent="0.2">
      <c r="A130" s="215" t="s">
        <v>239</v>
      </c>
      <c r="B130" s="119"/>
      <c r="C130" s="119"/>
      <c r="D130" s="119"/>
      <c r="E130" s="119"/>
      <c r="F130" s="119"/>
      <c r="G130" s="119"/>
      <c r="H130" s="119"/>
      <c r="I130" s="119"/>
      <c r="J130" s="119"/>
      <c r="K130" s="119"/>
      <c r="L130" s="119"/>
      <c r="M130" s="119"/>
      <c r="N130" s="119"/>
      <c r="O130" s="128"/>
      <c r="P130" s="160"/>
      <c r="Q130" s="205"/>
    </row>
    <row r="131" spans="1:18" s="198" customFormat="1" x14ac:dyDescent="0.2">
      <c r="A131" s="195" t="s">
        <v>69</v>
      </c>
      <c r="B131" s="57">
        <f>+'EJECUCION SOC ENE 24'!Z11</f>
        <v>984414</v>
      </c>
      <c r="C131" s="57">
        <f>+'EJECUCION SOC FEB 24'!Z12</f>
        <v>1669856</v>
      </c>
      <c r="D131" s="57">
        <f>+'EJECUCION SOCIAL MARZO 24'!Z12</f>
        <v>1306656</v>
      </c>
      <c r="E131" s="57">
        <f>+'EJECUCION SOCIAL ABRIL 24'!Z12</f>
        <v>1275598.3999999999</v>
      </c>
      <c r="F131" s="57">
        <f>+'EJECUCION SOCIAL MAY 24'!Z12</f>
        <v>1820968.7288000002</v>
      </c>
      <c r="G131" s="57">
        <f>+'EJECUCION SOCIAL JUN 24'!Z12</f>
        <v>1394807.1568</v>
      </c>
      <c r="H131" s="57"/>
      <c r="I131" s="57"/>
      <c r="J131" s="57"/>
      <c r="K131" s="57"/>
      <c r="L131" s="57"/>
      <c r="M131" s="57"/>
      <c r="N131" s="131">
        <f>SUM(B131:M131)</f>
        <v>8452300.285600001</v>
      </c>
      <c r="O131" s="128"/>
      <c r="P131" s="160"/>
      <c r="Q131" s="205"/>
    </row>
    <row r="132" spans="1:18" s="198" customFormat="1" x14ac:dyDescent="0.2">
      <c r="A132" s="195" t="s">
        <v>71</v>
      </c>
      <c r="B132" s="57">
        <f>+'EJECUCION SOC ENE 24'!Z44</f>
        <v>1178102.8199999998</v>
      </c>
      <c r="C132" s="57">
        <f>+'EJECUCION SOC FEB 24'!Z47</f>
        <v>1328732.22</v>
      </c>
      <c r="D132" s="57">
        <f>+'EJECUCION SOCIAL MARZO 24'!Z47</f>
        <v>602032.97</v>
      </c>
      <c r="E132" s="57">
        <f>+'EJECUCION SOCIAL ABRIL 24'!Z50</f>
        <v>55035569.119999997</v>
      </c>
      <c r="F132" s="57">
        <f>+'EJECUCION SOCIAL MAY 24'!Z50</f>
        <v>1102932.92</v>
      </c>
      <c r="G132" s="57">
        <f>+'EJECUCION SOCIAL JUN 24'!Z50</f>
        <v>1505826.51</v>
      </c>
      <c r="H132" s="57"/>
      <c r="I132" s="57"/>
      <c r="J132" s="57"/>
      <c r="K132" s="57"/>
      <c r="L132" s="57"/>
      <c r="M132" s="57"/>
      <c r="N132" s="131">
        <f>SUM(B132:M132)</f>
        <v>60753196.559999995</v>
      </c>
      <c r="O132" s="128"/>
      <c r="P132" s="160"/>
      <c r="Q132" s="205"/>
    </row>
    <row r="133" spans="1:18" x14ac:dyDescent="0.2">
      <c r="A133" s="202" t="s">
        <v>240</v>
      </c>
      <c r="B133" s="184">
        <f t="shared" ref="B133:N133" si="16">SUM(B131:B132)</f>
        <v>2162516.8199999998</v>
      </c>
      <c r="C133" s="184">
        <f t="shared" si="16"/>
        <v>2998588.2199999997</v>
      </c>
      <c r="D133" s="184">
        <f t="shared" si="16"/>
        <v>1908688.97</v>
      </c>
      <c r="E133" s="184">
        <f t="shared" si="16"/>
        <v>56311167.519999996</v>
      </c>
      <c r="F133" s="184">
        <f t="shared" si="16"/>
        <v>2923901.6488000001</v>
      </c>
      <c r="G133" s="184">
        <f t="shared" si="16"/>
        <v>2900633.6667999998</v>
      </c>
      <c r="H133" s="184">
        <f t="shared" si="16"/>
        <v>0</v>
      </c>
      <c r="I133" s="184">
        <f t="shared" si="16"/>
        <v>0</v>
      </c>
      <c r="J133" s="184">
        <f t="shared" si="16"/>
        <v>0</v>
      </c>
      <c r="K133" s="184">
        <f t="shared" si="16"/>
        <v>0</v>
      </c>
      <c r="L133" s="184">
        <f t="shared" si="16"/>
        <v>0</v>
      </c>
      <c r="M133" s="184">
        <f t="shared" si="16"/>
        <v>0</v>
      </c>
      <c r="N133" s="184">
        <f t="shared" si="16"/>
        <v>69205496.845599994</v>
      </c>
      <c r="O133" s="129">
        <f>+N133/N139</f>
        <v>0.16473864909001235</v>
      </c>
      <c r="P133" s="199"/>
      <c r="Q133" s="203"/>
    </row>
    <row r="134" spans="1:18" x14ac:dyDescent="0.2">
      <c r="A134" s="185"/>
      <c r="B134" s="181"/>
      <c r="C134" s="185"/>
      <c r="D134" s="185"/>
      <c r="E134" s="185"/>
      <c r="F134" s="185"/>
      <c r="G134" s="185"/>
      <c r="H134" s="185"/>
      <c r="I134" s="185"/>
      <c r="J134" s="185"/>
      <c r="K134" s="185"/>
      <c r="L134" s="185"/>
      <c r="M134" s="185"/>
      <c r="N134" s="180"/>
      <c r="O134" s="185"/>
      <c r="P134" s="199"/>
      <c r="Q134" s="203"/>
    </row>
    <row r="135" spans="1:18" x14ac:dyDescent="0.2">
      <c r="A135" s="187" t="s">
        <v>7</v>
      </c>
      <c r="B135" s="186"/>
      <c r="C135" s="187"/>
      <c r="D135" s="187"/>
      <c r="E135" s="187"/>
      <c r="F135" s="187"/>
      <c r="G135" s="187"/>
      <c r="H135" s="187"/>
      <c r="I135" s="187"/>
      <c r="J135" s="187"/>
      <c r="K135" s="187"/>
      <c r="L135" s="187"/>
      <c r="M135" s="187"/>
      <c r="N135" s="187"/>
      <c r="O135" s="187"/>
      <c r="P135" s="199">
        <v>11</v>
      </c>
    </row>
    <row r="136" spans="1:18" x14ac:dyDescent="0.2">
      <c r="A136" s="200" t="s">
        <v>8</v>
      </c>
      <c r="B136" s="57">
        <v>1684495</v>
      </c>
      <c r="C136" s="57">
        <v>864889</v>
      </c>
      <c r="D136" s="57">
        <v>1530272</v>
      </c>
      <c r="E136" s="57">
        <v>360469</v>
      </c>
      <c r="F136" s="57">
        <v>887577</v>
      </c>
      <c r="G136" s="57">
        <v>629919</v>
      </c>
      <c r="H136" s="57"/>
      <c r="I136" s="57"/>
      <c r="J136" s="57"/>
      <c r="K136" s="57"/>
      <c r="L136" s="57"/>
      <c r="M136" s="57"/>
      <c r="N136" s="131">
        <f>SUM(B136:M136)</f>
        <v>5957621</v>
      </c>
      <c r="O136" s="57"/>
      <c r="P136" s="161"/>
    </row>
    <row r="137" spans="1:18" x14ac:dyDescent="0.2">
      <c r="A137" s="200" t="s">
        <v>50</v>
      </c>
      <c r="B137" s="57"/>
      <c r="C137" s="57"/>
      <c r="D137" s="57"/>
      <c r="E137" s="57"/>
      <c r="F137" s="57"/>
      <c r="G137" s="57">
        <f>6272-25</f>
        <v>6247</v>
      </c>
      <c r="H137" s="57"/>
      <c r="I137" s="57"/>
      <c r="J137" s="57"/>
      <c r="K137" s="57"/>
      <c r="L137" s="57"/>
      <c r="M137" s="57"/>
      <c r="N137" s="131">
        <f>SUM(B137:M137)</f>
        <v>6247</v>
      </c>
      <c r="O137" s="57"/>
      <c r="P137" s="161"/>
    </row>
    <row r="138" spans="1:18" s="198" customFormat="1" x14ac:dyDescent="0.2">
      <c r="A138" s="202" t="s">
        <v>34</v>
      </c>
      <c r="B138" s="60">
        <f t="shared" ref="B138:N138" si="17">SUM(B136:B137)</f>
        <v>1684495</v>
      </c>
      <c r="C138" s="60">
        <f t="shared" si="17"/>
        <v>864889</v>
      </c>
      <c r="D138" s="60">
        <f t="shared" si="17"/>
        <v>1530272</v>
      </c>
      <c r="E138" s="60">
        <f t="shared" si="17"/>
        <v>360469</v>
      </c>
      <c r="F138" s="60">
        <f t="shared" si="17"/>
        <v>887577</v>
      </c>
      <c r="G138" s="60">
        <f t="shared" si="17"/>
        <v>636166</v>
      </c>
      <c r="H138" s="60">
        <f t="shared" si="17"/>
        <v>0</v>
      </c>
      <c r="I138" s="60">
        <f t="shared" si="17"/>
        <v>0</v>
      </c>
      <c r="J138" s="60">
        <f t="shared" si="17"/>
        <v>0</v>
      </c>
      <c r="K138" s="60">
        <f t="shared" si="17"/>
        <v>0</v>
      </c>
      <c r="L138" s="60">
        <f t="shared" si="17"/>
        <v>0</v>
      </c>
      <c r="M138" s="60">
        <f t="shared" si="17"/>
        <v>0</v>
      </c>
      <c r="N138" s="60">
        <f t="shared" si="17"/>
        <v>5963868</v>
      </c>
      <c r="O138" s="129">
        <f>+N138/N139</f>
        <v>1.4196553777557609E-2</v>
      </c>
      <c r="P138" s="160"/>
      <c r="Q138" s="205"/>
    </row>
    <row r="139" spans="1:18" s="198" customFormat="1" x14ac:dyDescent="0.2">
      <c r="A139" s="216" t="s">
        <v>36</v>
      </c>
      <c r="B139" s="188">
        <f t="shared" ref="B139:O139" si="18">+B79+B116+B121+B129+B133+B138</f>
        <v>70668402.399999991</v>
      </c>
      <c r="C139" s="188">
        <f t="shared" si="18"/>
        <v>70225069.799999997</v>
      </c>
      <c r="D139" s="188">
        <f t="shared" si="18"/>
        <v>62686247.999999993</v>
      </c>
      <c r="E139" s="188">
        <f t="shared" si="18"/>
        <v>117713811.76000001</v>
      </c>
      <c r="F139" s="188">
        <f>+F79+F116+F123+F129+F133+F138</f>
        <v>29730316.399120003</v>
      </c>
      <c r="G139" s="188">
        <f t="shared" si="18"/>
        <v>69068808.876320004</v>
      </c>
      <c r="H139" s="188">
        <f t="shared" si="18"/>
        <v>0</v>
      </c>
      <c r="I139" s="188">
        <f t="shared" si="18"/>
        <v>0</v>
      </c>
      <c r="J139" s="188">
        <f t="shared" si="18"/>
        <v>0</v>
      </c>
      <c r="K139" s="188">
        <f t="shared" si="18"/>
        <v>0</v>
      </c>
      <c r="L139" s="188">
        <f t="shared" si="18"/>
        <v>0</v>
      </c>
      <c r="M139" s="188">
        <f t="shared" si="18"/>
        <v>0</v>
      </c>
      <c r="N139" s="188">
        <f>+N79+N116+N123+N129+N133+N138</f>
        <v>420092657.23544002</v>
      </c>
      <c r="O139" s="157">
        <f t="shared" si="18"/>
        <v>1.0959523840889438</v>
      </c>
      <c r="P139" s="207"/>
      <c r="Q139" s="205"/>
    </row>
    <row r="140" spans="1:18" x14ac:dyDescent="0.2">
      <c r="A140" s="202" t="s">
        <v>73</v>
      </c>
      <c r="B140" s="60">
        <f t="shared" ref="B140:M140" si="19">+B40-B139</f>
        <v>18589802.600000009</v>
      </c>
      <c r="C140" s="60">
        <f t="shared" si="19"/>
        <v>-34662856.079999998</v>
      </c>
      <c r="D140" s="60">
        <f t="shared" si="19"/>
        <v>24446783.000000007</v>
      </c>
      <c r="E140" s="60">
        <f t="shared" si="19"/>
        <v>-1126966.7600000054</v>
      </c>
      <c r="F140" s="60">
        <f t="shared" si="19"/>
        <v>4726422.600879997</v>
      </c>
      <c r="G140" s="60">
        <f t="shared" si="19"/>
        <v>2471748.1236799955</v>
      </c>
      <c r="H140" s="60">
        <f t="shared" si="19"/>
        <v>0</v>
      </c>
      <c r="I140" s="60">
        <f t="shared" si="19"/>
        <v>0</v>
      </c>
      <c r="J140" s="60">
        <f t="shared" si="19"/>
        <v>0</v>
      </c>
      <c r="K140" s="60">
        <f t="shared" si="19"/>
        <v>0</v>
      </c>
      <c r="L140" s="60">
        <f t="shared" si="19"/>
        <v>0</v>
      </c>
      <c r="M140" s="60">
        <f t="shared" si="19"/>
        <v>0</v>
      </c>
      <c r="N140" s="60">
        <f>+N40-N139</f>
        <v>14444933.484560013</v>
      </c>
      <c r="O140" s="60"/>
      <c r="P140" s="160">
        <v>12</v>
      </c>
      <c r="Q140" s="204"/>
      <c r="R140" s="204"/>
    </row>
    <row r="141" spans="1:18" x14ac:dyDescent="0.2">
      <c r="R141" s="204"/>
    </row>
    <row r="142" spans="1:18" x14ac:dyDescent="0.2">
      <c r="N142" s="203"/>
      <c r="O142" s="203"/>
      <c r="R142" s="204"/>
    </row>
    <row r="143" spans="1:18" x14ac:dyDescent="0.2">
      <c r="D143" s="203"/>
      <c r="E143" s="203"/>
      <c r="F143" s="203"/>
      <c r="G143" s="203"/>
      <c r="H143" s="203"/>
      <c r="I143" s="203"/>
      <c r="J143" s="203"/>
      <c r="K143" s="203"/>
      <c r="L143" s="203"/>
      <c r="M143" s="203"/>
      <c r="N143" s="203"/>
      <c r="O143" s="203"/>
    </row>
    <row r="144" spans="1:18" x14ac:dyDescent="0.2">
      <c r="N144" s="203"/>
    </row>
  </sheetData>
  <mergeCells count="4">
    <mergeCell ref="A1:P1"/>
    <mergeCell ref="A2:P2"/>
    <mergeCell ref="A3:P3"/>
    <mergeCell ref="A4:P4"/>
  </mergeCells>
  <pageMargins left="0.7" right="0.7" top="0.75" bottom="0.75" header="0.3" footer="0.3"/>
  <pageSetup orientation="portrait" horizontalDpi="4294967293" verticalDpi="300" r:id="rId1"/>
  <ignoredErrors>
    <ignoredError sqref="N139 F139" formula="1"/>
  </ignoredError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S138"/>
  <sheetViews>
    <sheetView topLeftCell="A112" zoomScale="112" zoomScaleNormal="112" workbookViewId="0">
      <selection activeCell="B141" sqref="B141"/>
    </sheetView>
  </sheetViews>
  <sheetFormatPr baseColWidth="10" defaultColWidth="11.42578125" defaultRowHeight="15" x14ac:dyDescent="0.25"/>
  <cols>
    <col min="1" max="1" width="2.7109375" customWidth="1"/>
    <col min="2" max="2" width="54.5703125" customWidth="1"/>
    <col min="3" max="3" width="9.5703125" customWidth="1"/>
    <col min="4" max="9" width="11" customWidth="1"/>
    <col min="10" max="14" width="11" hidden="1" customWidth="1"/>
    <col min="15" max="15" width="12.42578125" customWidth="1"/>
    <col min="16" max="16" width="7.85546875" customWidth="1"/>
    <col min="17" max="17" width="7.140625" customWidth="1"/>
    <col min="18" max="18" width="12.28515625" bestFit="1" customWidth="1"/>
  </cols>
  <sheetData>
    <row r="1" spans="2:17" x14ac:dyDescent="0.25">
      <c r="B1" s="329" t="s">
        <v>77</v>
      </c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  <c r="Q1" s="329"/>
    </row>
    <row r="2" spans="2:17" x14ac:dyDescent="0.25">
      <c r="B2" s="330" t="s">
        <v>91</v>
      </c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  <c r="Q2" s="330"/>
    </row>
    <row r="3" spans="2:17" x14ac:dyDescent="0.25">
      <c r="B3" s="330" t="s">
        <v>0</v>
      </c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  <c r="Q3" s="330"/>
    </row>
    <row r="4" spans="2:17" x14ac:dyDescent="0.25">
      <c r="B4" s="330" t="s">
        <v>291</v>
      </c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  <c r="Q4" s="330"/>
    </row>
    <row r="5" spans="2:17" x14ac:dyDescent="0.25">
      <c r="B5" s="196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1"/>
      <c r="P5" s="41"/>
      <c r="Q5" s="165"/>
    </row>
    <row r="6" spans="2:17" x14ac:dyDescent="0.25">
      <c r="B6" s="197" t="s">
        <v>79</v>
      </c>
      <c r="C6" s="151" t="s">
        <v>1</v>
      </c>
      <c r="D6" s="151" t="s">
        <v>127</v>
      </c>
      <c r="E6" s="151" t="s">
        <v>128</v>
      </c>
      <c r="F6" s="151" t="s">
        <v>129</v>
      </c>
      <c r="G6" s="151" t="s">
        <v>130</v>
      </c>
      <c r="H6" s="151" t="s">
        <v>131</v>
      </c>
      <c r="I6" s="151" t="s">
        <v>132</v>
      </c>
      <c r="J6" s="151" t="s">
        <v>249</v>
      </c>
      <c r="K6" s="151" t="s">
        <v>251</v>
      </c>
      <c r="L6" s="151" t="s">
        <v>254</v>
      </c>
      <c r="M6" s="151" t="s">
        <v>255</v>
      </c>
      <c r="N6" s="151" t="s">
        <v>256</v>
      </c>
      <c r="O6" s="152" t="s">
        <v>2</v>
      </c>
      <c r="P6" s="152" t="s">
        <v>234</v>
      </c>
      <c r="Q6" s="166" t="s">
        <v>38</v>
      </c>
    </row>
    <row r="7" spans="2:17" x14ac:dyDescent="0.25">
      <c r="B7" s="179" t="s">
        <v>33</v>
      </c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</row>
    <row r="8" spans="2:17" x14ac:dyDescent="0.25">
      <c r="B8" s="180" t="s">
        <v>214</v>
      </c>
      <c r="C8" s="180"/>
      <c r="D8" s="180"/>
      <c r="E8" s="180"/>
      <c r="F8" s="180"/>
      <c r="G8" s="180"/>
      <c r="H8" s="180"/>
      <c r="I8" s="180"/>
      <c r="J8" s="180"/>
      <c r="K8" s="180"/>
      <c r="L8" s="180"/>
      <c r="M8" s="180"/>
      <c r="N8" s="180"/>
      <c r="O8" s="180"/>
      <c r="P8" s="180"/>
      <c r="Q8" s="199">
        <v>3</v>
      </c>
    </row>
    <row r="9" spans="2:17" x14ac:dyDescent="0.25">
      <c r="B9" s="200" t="s">
        <v>3</v>
      </c>
      <c r="C9" s="40">
        <v>73603359</v>
      </c>
      <c r="D9" s="40">
        <v>8892438</v>
      </c>
      <c r="E9" s="40">
        <v>3258823</v>
      </c>
      <c r="F9" s="40">
        <f>+'ER AJUSTADO ENE-JUL CC 2024'!E9</f>
        <v>5262185</v>
      </c>
      <c r="G9" s="40">
        <f>+'ER AJUSTADO ENE-JUL CC 2024'!F9</f>
        <v>3824370</v>
      </c>
      <c r="H9" s="40">
        <f>+'ER AJUSTADO ENE-JUL CC 2024'!G9</f>
        <v>2928571</v>
      </c>
      <c r="I9" s="40">
        <v>5863025</v>
      </c>
      <c r="J9" s="40"/>
      <c r="K9" s="40"/>
      <c r="L9" s="40"/>
      <c r="M9" s="40"/>
      <c r="N9" s="40"/>
      <c r="O9" s="130">
        <f>SUM(C9:N9)</f>
        <v>103632771</v>
      </c>
      <c r="P9" s="40"/>
      <c r="Q9" s="201"/>
    </row>
    <row r="10" spans="2:17" x14ac:dyDescent="0.25">
      <c r="B10" s="200" t="s">
        <v>4</v>
      </c>
      <c r="C10" s="40">
        <v>9226600</v>
      </c>
      <c r="D10" s="40">
        <v>9226600</v>
      </c>
      <c r="E10" s="40">
        <v>9226600</v>
      </c>
      <c r="F10" s="40">
        <f>+'ER AJUSTADO ENE-JUL CC 2024'!E10</f>
        <v>9226600</v>
      </c>
      <c r="G10" s="40">
        <f>+'ER AJUSTADO ENE-JUL CC 2024'!F10</f>
        <v>9226600</v>
      </c>
      <c r="H10" s="40">
        <f>+'ER AJUSTADO ENE-JUL CC 2024'!G10</f>
        <v>9226600</v>
      </c>
      <c r="I10" s="40">
        <v>9226600</v>
      </c>
      <c r="J10" s="40"/>
      <c r="K10" s="40"/>
      <c r="L10" s="40"/>
      <c r="M10" s="40"/>
      <c r="N10" s="40"/>
      <c r="O10" s="130">
        <f>SUM(C10:N10)</f>
        <v>64586200</v>
      </c>
      <c r="P10" s="40"/>
      <c r="Q10" s="201"/>
    </row>
    <row r="11" spans="2:17" x14ac:dyDescent="0.25">
      <c r="B11" s="202" t="s">
        <v>215</v>
      </c>
      <c r="C11" s="60">
        <f>+C9+C10</f>
        <v>82829959</v>
      </c>
      <c r="D11" s="60">
        <f t="shared" ref="D11:O11" si="0">SUM(D9:D10)</f>
        <v>18119038</v>
      </c>
      <c r="E11" s="60">
        <f t="shared" si="0"/>
        <v>12485423</v>
      </c>
      <c r="F11" s="60">
        <f t="shared" si="0"/>
        <v>14488785</v>
      </c>
      <c r="G11" s="60">
        <f t="shared" si="0"/>
        <v>13050970</v>
      </c>
      <c r="H11" s="60">
        <f t="shared" si="0"/>
        <v>12155171</v>
      </c>
      <c r="I11" s="60">
        <f t="shared" si="0"/>
        <v>15089625</v>
      </c>
      <c r="J11" s="60">
        <f t="shared" si="0"/>
        <v>0</v>
      </c>
      <c r="K11" s="60">
        <f t="shared" si="0"/>
        <v>0</v>
      </c>
      <c r="L11" s="60">
        <f t="shared" si="0"/>
        <v>0</v>
      </c>
      <c r="M11" s="60">
        <f t="shared" si="0"/>
        <v>0</v>
      </c>
      <c r="N11" s="60">
        <f t="shared" si="0"/>
        <v>0</v>
      </c>
      <c r="O11" s="153">
        <f t="shared" si="0"/>
        <v>168218971</v>
      </c>
      <c r="P11" s="129">
        <f>+O11/O40</f>
        <v>0.33531241710415194</v>
      </c>
      <c r="Q11" s="160"/>
    </row>
    <row r="12" spans="2:17" x14ac:dyDescent="0.25">
      <c r="B12" s="180" t="s">
        <v>31</v>
      </c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80"/>
      <c r="P12" s="180"/>
      <c r="Q12" s="199">
        <v>4</v>
      </c>
    </row>
    <row r="13" spans="2:17" x14ac:dyDescent="0.25">
      <c r="B13" s="200" t="s">
        <v>76</v>
      </c>
      <c r="C13" s="57">
        <v>510000</v>
      </c>
      <c r="D13" s="57">
        <v>585000</v>
      </c>
      <c r="E13" s="57">
        <v>595000</v>
      </c>
      <c r="F13" s="57">
        <v>485000</v>
      </c>
      <c r="G13" s="57">
        <f>+'ER AJUSTADO ENE-JUL CC 2024'!F13</f>
        <v>505000</v>
      </c>
      <c r="H13" s="57">
        <v>515000</v>
      </c>
      <c r="I13" s="57">
        <v>1600000</v>
      </c>
      <c r="J13" s="57"/>
      <c r="K13" s="57"/>
      <c r="L13" s="57"/>
      <c r="M13" s="57"/>
      <c r="N13" s="57"/>
      <c r="O13" s="130">
        <f>SUM(C13:N13)</f>
        <v>4795000</v>
      </c>
      <c r="P13" s="168">
        <f>+O13/$O$30</f>
        <v>4.4569161672194046E-2</v>
      </c>
      <c r="Q13" s="167"/>
    </row>
    <row r="14" spans="2:17" x14ac:dyDescent="0.25">
      <c r="B14" s="200" t="s">
        <v>102</v>
      </c>
      <c r="C14" s="57"/>
      <c r="D14" s="57">
        <v>180000</v>
      </c>
      <c r="E14" s="57">
        <v>810000</v>
      </c>
      <c r="F14" s="57"/>
      <c r="G14" s="57"/>
      <c r="H14" s="57">
        <v>90000</v>
      </c>
      <c r="I14" s="57"/>
      <c r="J14" s="57"/>
      <c r="K14" s="57"/>
      <c r="L14" s="57"/>
      <c r="M14" s="57"/>
      <c r="N14" s="57"/>
      <c r="O14" s="130">
        <f t="shared" ref="O14:O29" si="1">SUM(C14:N14)</f>
        <v>1080000</v>
      </c>
      <c r="P14" s="168">
        <f>+O14/$O$30</f>
        <v>1.0038518165999911E-2</v>
      </c>
      <c r="Q14" s="167"/>
    </row>
    <row r="15" spans="2:17" x14ac:dyDescent="0.25">
      <c r="B15" s="200" t="s">
        <v>114</v>
      </c>
      <c r="C15" s="57"/>
      <c r="D15" s="57"/>
      <c r="E15" s="57"/>
      <c r="F15" s="57"/>
      <c r="G15" s="57"/>
      <c r="H15" s="57"/>
      <c r="I15" s="57">
        <v>1805000</v>
      </c>
      <c r="J15" s="57"/>
      <c r="K15" s="57"/>
      <c r="L15" s="57"/>
      <c r="M15" s="57"/>
      <c r="N15" s="57"/>
      <c r="O15" s="130">
        <f t="shared" si="1"/>
        <v>1805000</v>
      </c>
      <c r="P15" s="168">
        <f>+O15/$O$30</f>
        <v>1.6777338231138739E-2</v>
      </c>
      <c r="Q15" s="167"/>
    </row>
    <row r="16" spans="2:17" x14ac:dyDescent="0.25">
      <c r="B16" s="200" t="s">
        <v>293</v>
      </c>
      <c r="C16" s="57"/>
      <c r="D16" s="57"/>
      <c r="E16" s="57"/>
      <c r="F16" s="57"/>
      <c r="G16" s="57"/>
      <c r="H16" s="57">
        <v>1970000</v>
      </c>
      <c r="I16" s="57"/>
      <c r="J16" s="57"/>
      <c r="K16" s="57"/>
      <c r="L16" s="57"/>
      <c r="M16" s="57"/>
      <c r="N16" s="57"/>
      <c r="O16" s="130">
        <f t="shared" si="1"/>
        <v>1970000</v>
      </c>
      <c r="P16" s="168"/>
      <c r="Q16" s="167"/>
    </row>
    <row r="17" spans="2:18" x14ac:dyDescent="0.25">
      <c r="B17" s="200" t="s">
        <v>66</v>
      </c>
      <c r="C17" s="57">
        <v>676500</v>
      </c>
      <c r="D17" s="57"/>
      <c r="E17" s="57">
        <v>738900</v>
      </c>
      <c r="F17" s="57">
        <v>762400</v>
      </c>
      <c r="G17" s="57">
        <f>+'ER AJUSTADO ENE-JUL CC 2024'!F17</f>
        <v>824800</v>
      </c>
      <c r="H17" s="57">
        <v>594800</v>
      </c>
      <c r="I17" s="57">
        <v>1246200</v>
      </c>
      <c r="J17" s="57"/>
      <c r="K17" s="57"/>
      <c r="L17" s="57"/>
      <c r="M17" s="57"/>
      <c r="N17" s="57"/>
      <c r="O17" s="130">
        <f t="shared" si="1"/>
        <v>4843600</v>
      </c>
      <c r="P17" s="168"/>
      <c r="Q17" s="167"/>
    </row>
    <row r="18" spans="2:18" x14ac:dyDescent="0.25">
      <c r="B18" s="200" t="s">
        <v>258</v>
      </c>
      <c r="C18" s="57">
        <v>3860000</v>
      </c>
      <c r="D18" s="57">
        <v>60000</v>
      </c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130">
        <f t="shared" si="1"/>
        <v>3920000</v>
      </c>
      <c r="P18" s="168">
        <f t="shared" ref="P18:P29" si="2">+O18/$O$30</f>
        <v>3.6436102972888566E-2</v>
      </c>
      <c r="Q18" s="167"/>
      <c r="R18" s="217"/>
    </row>
    <row r="19" spans="2:18" hidden="1" x14ac:dyDescent="0.25">
      <c r="B19" s="200" t="s">
        <v>152</v>
      </c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/>
      <c r="O19" s="130">
        <f t="shared" si="1"/>
        <v>0</v>
      </c>
      <c r="P19" s="168">
        <f t="shared" si="2"/>
        <v>0</v>
      </c>
      <c r="Q19" s="167"/>
    </row>
    <row r="20" spans="2:18" hidden="1" x14ac:dyDescent="0.25">
      <c r="B20" s="200" t="s">
        <v>80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/>
      <c r="O20" s="130">
        <f t="shared" si="1"/>
        <v>0</v>
      </c>
      <c r="P20" s="168">
        <f t="shared" si="2"/>
        <v>0</v>
      </c>
      <c r="Q20" s="167"/>
    </row>
    <row r="21" spans="2:18" hidden="1" x14ac:dyDescent="0.25">
      <c r="B21" s="200" t="s">
        <v>101</v>
      </c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/>
      <c r="O21" s="130">
        <f t="shared" si="1"/>
        <v>0</v>
      </c>
      <c r="P21" s="168">
        <f t="shared" si="2"/>
        <v>0</v>
      </c>
      <c r="Q21" s="167"/>
    </row>
    <row r="22" spans="2:18" hidden="1" x14ac:dyDescent="0.25">
      <c r="B22" s="200" t="s">
        <v>248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  <c r="O22" s="130">
        <f t="shared" si="1"/>
        <v>0</v>
      </c>
      <c r="P22" s="168">
        <f t="shared" si="2"/>
        <v>0</v>
      </c>
      <c r="Q22" s="167"/>
    </row>
    <row r="23" spans="2:18" hidden="1" x14ac:dyDescent="0.25">
      <c r="B23" s="200" t="s">
        <v>63</v>
      </c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130">
        <f t="shared" si="1"/>
        <v>0</v>
      </c>
      <c r="P23" s="168">
        <f t="shared" si="2"/>
        <v>0</v>
      </c>
      <c r="Q23" s="167"/>
    </row>
    <row r="24" spans="2:18" hidden="1" x14ac:dyDescent="0.25">
      <c r="B24" s="200" t="s">
        <v>29</v>
      </c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7"/>
      <c r="N24" s="57"/>
      <c r="O24" s="130">
        <f t="shared" si="1"/>
        <v>0</v>
      </c>
      <c r="P24" s="168">
        <f t="shared" si="2"/>
        <v>0</v>
      </c>
      <c r="Q24" s="167"/>
    </row>
    <row r="25" spans="2:18" x14ac:dyDescent="0.25">
      <c r="B25" s="200" t="s">
        <v>30</v>
      </c>
      <c r="C25" s="57"/>
      <c r="D25" s="57">
        <v>1025000</v>
      </c>
      <c r="E25" s="57">
        <v>582500</v>
      </c>
      <c r="F25" s="57">
        <v>3508000</v>
      </c>
      <c r="G25" s="57">
        <f>+'ER AJUSTADO ENE-JUL CC 2024'!F25</f>
        <v>988500</v>
      </c>
      <c r="H25" s="57">
        <v>1342000</v>
      </c>
      <c r="I25" s="57">
        <v>1436000</v>
      </c>
      <c r="J25" s="57"/>
      <c r="K25" s="57"/>
      <c r="L25" s="57"/>
      <c r="M25" s="57"/>
      <c r="N25" s="57"/>
      <c r="O25" s="130">
        <f t="shared" si="1"/>
        <v>8882000</v>
      </c>
      <c r="P25" s="168">
        <f t="shared" si="2"/>
        <v>8.2557516991121488E-2</v>
      </c>
      <c r="Q25" s="167"/>
    </row>
    <row r="26" spans="2:18" x14ac:dyDescent="0.25">
      <c r="B26" s="200" t="s">
        <v>107</v>
      </c>
      <c r="C26" s="57">
        <v>732000</v>
      </c>
      <c r="D26" s="57">
        <v>4350000</v>
      </c>
      <c r="E26" s="57">
        <v>2956000</v>
      </c>
      <c r="F26" s="57">
        <v>2911000</v>
      </c>
      <c r="G26" s="57">
        <f>+'ER AJUSTADO ENE-JUL CC 2024'!F26</f>
        <v>3570000</v>
      </c>
      <c r="H26" s="57">
        <v>3310000</v>
      </c>
      <c r="I26" s="57">
        <v>3435000</v>
      </c>
      <c r="J26" s="57"/>
      <c r="K26" s="57"/>
      <c r="L26" s="57"/>
      <c r="M26" s="57"/>
      <c r="N26" s="57"/>
      <c r="O26" s="130">
        <f t="shared" si="1"/>
        <v>21264000</v>
      </c>
      <c r="P26" s="168">
        <f t="shared" si="2"/>
        <v>0.1976472687794649</v>
      </c>
      <c r="Q26" s="167"/>
    </row>
    <row r="27" spans="2:18" x14ac:dyDescent="0.25">
      <c r="B27" s="200" t="s">
        <v>250</v>
      </c>
      <c r="C27" s="57"/>
      <c r="D27" s="57">
        <v>10557000</v>
      </c>
      <c r="E27" s="57">
        <v>10251000</v>
      </c>
      <c r="F27" s="57">
        <v>10557000</v>
      </c>
      <c r="G27" s="57">
        <f>+'ER AJUSTADO ENE-JUL CC 2024'!F27</f>
        <v>10404000</v>
      </c>
      <c r="H27" s="57">
        <v>10557000</v>
      </c>
      <c r="I27" s="57"/>
      <c r="J27" s="57"/>
      <c r="K27" s="57"/>
      <c r="L27" s="57"/>
      <c r="M27" s="57"/>
      <c r="N27" s="57"/>
      <c r="O27" s="130">
        <f t="shared" si="1"/>
        <v>52326000</v>
      </c>
      <c r="P27" s="168">
        <f t="shared" si="2"/>
        <v>0.48636620514269568</v>
      </c>
      <c r="Q27" s="167"/>
      <c r="R27" s="162"/>
    </row>
    <row r="28" spans="2:18" x14ac:dyDescent="0.25">
      <c r="B28" s="200" t="s">
        <v>75</v>
      </c>
      <c r="C28" s="57"/>
      <c r="D28" s="57"/>
      <c r="E28" s="57"/>
      <c r="F28" s="57"/>
      <c r="G28" s="57"/>
      <c r="H28" s="57"/>
      <c r="I28" s="57">
        <v>5200000</v>
      </c>
      <c r="J28" s="57"/>
      <c r="K28" s="57"/>
      <c r="L28" s="57"/>
      <c r="M28" s="57"/>
      <c r="N28" s="57"/>
      <c r="O28" s="130">
        <f t="shared" si="1"/>
        <v>5200000</v>
      </c>
      <c r="P28" s="168">
        <f t="shared" si="2"/>
        <v>4.8333605984444014E-2</v>
      </c>
      <c r="Q28" s="167"/>
    </row>
    <row r="29" spans="2:18" x14ac:dyDescent="0.25">
      <c r="B29" s="200" t="s">
        <v>70</v>
      </c>
      <c r="C29" s="57"/>
      <c r="D29" s="57"/>
      <c r="E29" s="57">
        <v>1500000</v>
      </c>
      <c r="F29" s="57"/>
      <c r="G29" s="57"/>
      <c r="H29" s="57"/>
      <c r="I29" s="57"/>
      <c r="J29" s="57"/>
      <c r="K29" s="57"/>
      <c r="L29" s="57"/>
      <c r="M29" s="57"/>
      <c r="N29" s="57"/>
      <c r="O29" s="130">
        <f t="shared" si="1"/>
        <v>1500000</v>
      </c>
      <c r="P29" s="168">
        <f t="shared" si="2"/>
        <v>1.3942386341666543E-2</v>
      </c>
      <c r="Q29" s="167"/>
    </row>
    <row r="30" spans="2:18" x14ac:dyDescent="0.25">
      <c r="B30" s="202" t="s">
        <v>32</v>
      </c>
      <c r="C30" s="60">
        <f t="shared" ref="C30:O30" si="3">SUM(C13:C29)</f>
        <v>5778500</v>
      </c>
      <c r="D30" s="60">
        <f t="shared" si="3"/>
        <v>16757000</v>
      </c>
      <c r="E30" s="60">
        <f t="shared" si="3"/>
        <v>17433400</v>
      </c>
      <c r="F30" s="60">
        <f t="shared" si="3"/>
        <v>18223400</v>
      </c>
      <c r="G30" s="60">
        <f t="shared" si="3"/>
        <v>16292300</v>
      </c>
      <c r="H30" s="60">
        <f t="shared" si="3"/>
        <v>18378800</v>
      </c>
      <c r="I30" s="60">
        <f t="shared" si="3"/>
        <v>14722200</v>
      </c>
      <c r="J30" s="60">
        <f t="shared" si="3"/>
        <v>0</v>
      </c>
      <c r="K30" s="60">
        <f t="shared" si="3"/>
        <v>0</v>
      </c>
      <c r="L30" s="60">
        <f t="shared" si="3"/>
        <v>0</v>
      </c>
      <c r="M30" s="60">
        <f t="shared" si="3"/>
        <v>0</v>
      </c>
      <c r="N30" s="60">
        <f t="shared" si="3"/>
        <v>0</v>
      </c>
      <c r="O30" s="60">
        <f t="shared" si="3"/>
        <v>107585600</v>
      </c>
      <c r="P30" s="129">
        <f>+O30/O40</f>
        <v>0.21445136281091892</v>
      </c>
      <c r="Q30" s="160"/>
    </row>
    <row r="31" spans="2:18" x14ac:dyDescent="0.25">
      <c r="B31" s="180" t="s">
        <v>216</v>
      </c>
      <c r="C31" s="119"/>
      <c r="D31" s="119"/>
      <c r="E31" s="119"/>
      <c r="F31" s="119"/>
      <c r="G31" s="119"/>
      <c r="H31" s="119"/>
      <c r="I31" s="119"/>
      <c r="J31" s="119"/>
      <c r="K31" s="119"/>
      <c r="L31" s="119"/>
      <c r="M31" s="119"/>
      <c r="N31" s="119"/>
      <c r="O31" s="180"/>
      <c r="P31" s="180"/>
      <c r="Q31" s="160">
        <v>5</v>
      </c>
    </row>
    <row r="32" spans="2:18" x14ac:dyDescent="0.25">
      <c r="B32" s="200" t="s">
        <v>217</v>
      </c>
      <c r="C32" s="57">
        <v>0</v>
      </c>
      <c r="D32" s="118">
        <v>0</v>
      </c>
      <c r="E32" s="57">
        <v>56667231</v>
      </c>
      <c r="F32" s="57">
        <f>+'ER AJUSTADO ENE-JUL CC 2024'!E32</f>
        <v>83617208</v>
      </c>
      <c r="G32" s="57">
        <f>+'ER AJUSTADO ENE-JUL CC 2024'!F32</f>
        <v>4952876</v>
      </c>
      <c r="H32" s="57">
        <v>40774663</v>
      </c>
      <c r="I32" s="57">
        <v>36965872</v>
      </c>
      <c r="J32" s="57"/>
      <c r="K32" s="57"/>
      <c r="L32" s="57"/>
      <c r="M32" s="57"/>
      <c r="N32" s="57"/>
      <c r="O32" s="130">
        <f>SUM(C32:N32)</f>
        <v>222977850</v>
      </c>
      <c r="P32" s="118"/>
      <c r="Q32" s="160"/>
    </row>
    <row r="33" spans="2:17" x14ac:dyDescent="0.25">
      <c r="B33" s="202" t="s">
        <v>241</v>
      </c>
      <c r="C33" s="60">
        <f>SUM(C32)</f>
        <v>0</v>
      </c>
      <c r="D33" s="60">
        <f t="shared" ref="D33:N33" si="4">SUM(D32)</f>
        <v>0</v>
      </c>
      <c r="E33" s="60">
        <f t="shared" si="4"/>
        <v>56667231</v>
      </c>
      <c r="F33" s="60">
        <f t="shared" si="4"/>
        <v>83617208</v>
      </c>
      <c r="G33" s="60">
        <f t="shared" si="4"/>
        <v>4952876</v>
      </c>
      <c r="H33" s="60">
        <f t="shared" si="4"/>
        <v>40774663</v>
      </c>
      <c r="I33" s="60">
        <f t="shared" si="4"/>
        <v>36965872</v>
      </c>
      <c r="J33" s="60">
        <f t="shared" si="4"/>
        <v>0</v>
      </c>
      <c r="K33" s="60">
        <f t="shared" si="4"/>
        <v>0</v>
      </c>
      <c r="L33" s="60">
        <f t="shared" si="4"/>
        <v>0</v>
      </c>
      <c r="M33" s="60">
        <f t="shared" si="4"/>
        <v>0</v>
      </c>
      <c r="N33" s="60">
        <f t="shared" si="4"/>
        <v>0</v>
      </c>
      <c r="O33" s="60">
        <f>SUM(O32)</f>
        <v>222977850</v>
      </c>
      <c r="P33" s="129">
        <f>+O33/O40</f>
        <v>0.44446379263719921</v>
      </c>
      <c r="Q33" s="160"/>
    </row>
    <row r="34" spans="2:17" x14ac:dyDescent="0.25">
      <c r="B34" s="180" t="s">
        <v>218</v>
      </c>
      <c r="C34" s="119"/>
      <c r="D34" s="119"/>
      <c r="E34" s="119"/>
      <c r="F34" s="119"/>
      <c r="G34" s="119"/>
      <c r="H34" s="119"/>
      <c r="I34" s="119"/>
      <c r="J34" s="119"/>
      <c r="K34" s="119"/>
      <c r="L34" s="119"/>
      <c r="M34" s="119"/>
      <c r="N34" s="119"/>
      <c r="O34" s="180"/>
      <c r="P34" s="180"/>
      <c r="Q34" s="199">
        <v>6</v>
      </c>
    </row>
    <row r="35" spans="2:17" x14ac:dyDescent="0.25">
      <c r="B35" s="200" t="s">
        <v>5</v>
      </c>
      <c r="C35" s="57">
        <v>649746</v>
      </c>
      <c r="D35" s="57">
        <v>686175</v>
      </c>
      <c r="E35" s="57">
        <v>546968</v>
      </c>
      <c r="F35" s="57">
        <v>147452</v>
      </c>
      <c r="G35" s="57">
        <f>+'ER AJUSTADO ENE-JUL CC 2024'!F35</f>
        <v>160593</v>
      </c>
      <c r="H35" s="57">
        <v>231923</v>
      </c>
      <c r="I35" s="57">
        <v>363033</v>
      </c>
      <c r="J35" s="57"/>
      <c r="K35" s="57"/>
      <c r="L35" s="57"/>
      <c r="M35" s="57"/>
      <c r="N35" s="57"/>
      <c r="O35" s="131">
        <f>SUM(C35:N35)</f>
        <v>2785890</v>
      </c>
      <c r="P35" s="168">
        <f>+O35/$O$39</f>
        <v>0.96201123842006619</v>
      </c>
      <c r="Q35" s="161"/>
    </row>
    <row r="36" spans="2:17" x14ac:dyDescent="0.25">
      <c r="B36" s="200" t="s">
        <v>53</v>
      </c>
      <c r="C36" s="57"/>
      <c r="D36" s="57"/>
      <c r="E36" s="57"/>
      <c r="F36" s="57">
        <v>2000</v>
      </c>
      <c r="G36" s="57"/>
      <c r="H36" s="57"/>
      <c r="I36" s="57"/>
      <c r="J36" s="57"/>
      <c r="K36" s="57"/>
      <c r="L36" s="57"/>
      <c r="M36" s="57"/>
      <c r="N36" s="57"/>
      <c r="O36" s="131">
        <f t="shared" ref="O36:O38" si="5">SUM(C36:N36)</f>
        <v>2000</v>
      </c>
      <c r="P36" s="168">
        <f t="shared" ref="P36:P38" si="6">+O36/$O$39</f>
        <v>6.906311723866098E-4</v>
      </c>
      <c r="Q36" s="161"/>
    </row>
    <row r="37" spans="2:17" x14ac:dyDescent="0.25">
      <c r="B37" s="200" t="s">
        <v>113</v>
      </c>
      <c r="C37" s="57"/>
      <c r="D37" s="57"/>
      <c r="E37" s="57"/>
      <c r="F37" s="57">
        <v>108000</v>
      </c>
      <c r="G37" s="57"/>
      <c r="H37" s="57"/>
      <c r="I37" s="57"/>
      <c r="J37" s="57"/>
      <c r="K37" s="57"/>
      <c r="L37" s="57"/>
      <c r="M37" s="57"/>
      <c r="N37" s="57"/>
      <c r="O37" s="131">
        <f t="shared" si="5"/>
        <v>108000</v>
      </c>
      <c r="P37" s="168">
        <f t="shared" si="6"/>
        <v>3.729408330887693E-2</v>
      </c>
      <c r="Q37" s="161"/>
    </row>
    <row r="38" spans="2:17" x14ac:dyDescent="0.25">
      <c r="B38" s="200" t="s">
        <v>219</v>
      </c>
      <c r="C38" s="57"/>
      <c r="D38" s="57">
        <v>0.72</v>
      </c>
      <c r="E38" s="57">
        <v>9</v>
      </c>
      <c r="F38" s="57"/>
      <c r="G38" s="57"/>
      <c r="H38" s="57"/>
      <c r="I38" s="57">
        <v>2</v>
      </c>
      <c r="J38" s="57"/>
      <c r="K38" s="57"/>
      <c r="L38" s="57"/>
      <c r="M38" s="57"/>
      <c r="N38" s="57"/>
      <c r="O38" s="131">
        <f t="shared" si="5"/>
        <v>11.72</v>
      </c>
      <c r="P38" s="168">
        <f t="shared" si="6"/>
        <v>4.0470986701855335E-6</v>
      </c>
      <c r="Q38" s="161"/>
    </row>
    <row r="39" spans="2:17" x14ac:dyDescent="0.25">
      <c r="B39" s="202" t="s">
        <v>25</v>
      </c>
      <c r="C39" s="60">
        <f t="shared" ref="C39:N39" si="7">SUM(C35:C38)</f>
        <v>649746</v>
      </c>
      <c r="D39" s="60">
        <f t="shared" si="7"/>
        <v>686175.72</v>
      </c>
      <c r="E39" s="60">
        <f t="shared" si="7"/>
        <v>546977</v>
      </c>
      <c r="F39" s="60">
        <f t="shared" si="7"/>
        <v>257452</v>
      </c>
      <c r="G39" s="60">
        <f t="shared" si="7"/>
        <v>160593</v>
      </c>
      <c r="H39" s="60">
        <f t="shared" si="7"/>
        <v>231923</v>
      </c>
      <c r="I39" s="60">
        <f t="shared" si="7"/>
        <v>363035</v>
      </c>
      <c r="J39" s="60">
        <f t="shared" si="7"/>
        <v>0</v>
      </c>
      <c r="K39" s="60">
        <f t="shared" si="7"/>
        <v>0</v>
      </c>
      <c r="L39" s="60">
        <f t="shared" si="7"/>
        <v>0</v>
      </c>
      <c r="M39" s="60">
        <f t="shared" si="7"/>
        <v>0</v>
      </c>
      <c r="N39" s="60">
        <f t="shared" si="7"/>
        <v>0</v>
      </c>
      <c r="O39" s="60">
        <f>SUM(O35:O38)</f>
        <v>2895901.72</v>
      </c>
      <c r="P39" s="129">
        <f>+O39/O40</f>
        <v>5.7724274477298472E-3</v>
      </c>
      <c r="Q39" s="160"/>
    </row>
    <row r="40" spans="2:17" x14ac:dyDescent="0.25">
      <c r="B40" s="206" t="s">
        <v>35</v>
      </c>
      <c r="C40" s="193">
        <f t="shared" ref="C40:P40" si="8">+C11+C30+C33+C39</f>
        <v>89258205</v>
      </c>
      <c r="D40" s="193">
        <f t="shared" si="8"/>
        <v>35562213.719999999</v>
      </c>
      <c r="E40" s="193">
        <f t="shared" si="8"/>
        <v>87133031</v>
      </c>
      <c r="F40" s="193">
        <f t="shared" si="8"/>
        <v>116586845</v>
      </c>
      <c r="G40" s="193">
        <f t="shared" si="8"/>
        <v>34456739</v>
      </c>
      <c r="H40" s="193">
        <f t="shared" si="8"/>
        <v>71540557</v>
      </c>
      <c r="I40" s="193">
        <f t="shared" si="8"/>
        <v>67140732</v>
      </c>
      <c r="J40" s="193">
        <f t="shared" si="8"/>
        <v>0</v>
      </c>
      <c r="K40" s="193">
        <f t="shared" si="8"/>
        <v>0</v>
      </c>
      <c r="L40" s="193">
        <f t="shared" si="8"/>
        <v>0</v>
      </c>
      <c r="M40" s="193">
        <f t="shared" si="8"/>
        <v>0</v>
      </c>
      <c r="N40" s="193">
        <f t="shared" si="8"/>
        <v>0</v>
      </c>
      <c r="O40" s="194">
        <f t="shared" si="8"/>
        <v>501678322.72000003</v>
      </c>
      <c r="P40" s="136">
        <f t="shared" si="8"/>
        <v>0.99999999999999989</v>
      </c>
      <c r="Q40" s="207"/>
    </row>
    <row r="41" spans="2:17" x14ac:dyDescent="0.25">
      <c r="B41" s="208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2"/>
      <c r="P41" s="181"/>
      <c r="Q41" s="207"/>
    </row>
    <row r="42" spans="2:17" x14ac:dyDescent="0.25">
      <c r="B42" s="180" t="s">
        <v>64</v>
      </c>
      <c r="C42" s="180"/>
      <c r="D42" s="180"/>
      <c r="E42" s="180"/>
      <c r="F42" s="180"/>
      <c r="G42" s="180"/>
      <c r="H42" s="180"/>
      <c r="I42" s="180"/>
      <c r="J42" s="180"/>
      <c r="K42" s="180"/>
      <c r="L42" s="180"/>
      <c r="M42" s="180"/>
      <c r="N42" s="180"/>
      <c r="O42" s="180"/>
      <c r="P42" s="180"/>
      <c r="Q42" s="199">
        <v>7</v>
      </c>
    </row>
    <row r="43" spans="2:17" x14ac:dyDescent="0.25">
      <c r="B43" s="183" t="s">
        <v>10</v>
      </c>
      <c r="C43" s="183"/>
      <c r="D43" s="183"/>
      <c r="E43" s="183"/>
      <c r="F43" s="183"/>
      <c r="G43" s="183"/>
      <c r="H43" s="183"/>
      <c r="I43" s="183"/>
      <c r="J43" s="183"/>
      <c r="K43" s="183"/>
      <c r="L43" s="183"/>
      <c r="M43" s="183"/>
      <c r="N43" s="183"/>
      <c r="O43" s="183"/>
      <c r="P43" s="183"/>
      <c r="Q43" s="199"/>
    </row>
    <row r="44" spans="2:17" x14ac:dyDescent="0.25">
      <c r="B44" s="200" t="s">
        <v>69</v>
      </c>
      <c r="C44" s="57">
        <f>+'EJECUCION SOC ENE 24'!D11</f>
        <v>2345766</v>
      </c>
      <c r="D44" s="57">
        <f>+'EJECUCION SOC FEB 24'!D12</f>
        <v>5956861</v>
      </c>
      <c r="E44" s="57">
        <f>+'EJECUCION SOCIAL MARZO 24'!D12</f>
        <v>5273131.2</v>
      </c>
      <c r="F44" s="57">
        <f>+'EJECUCION SOCIAL ABRIL 24'!D12</f>
        <v>5537309.5999999996</v>
      </c>
      <c r="G44" s="57">
        <f>+'EJECUCION SOCIAL MAY 24'!D12</f>
        <v>6411405.7508000005</v>
      </c>
      <c r="H44" s="57">
        <v>5429840.2488000002</v>
      </c>
      <c r="I44" s="57">
        <f>+'EJECUCION SOCIAL JUL 24'!D12</f>
        <v>5465840.2488000002</v>
      </c>
      <c r="J44" s="57"/>
      <c r="K44" s="57"/>
      <c r="L44" s="57"/>
      <c r="M44" s="57"/>
      <c r="N44" s="57"/>
      <c r="O44" s="131">
        <f>SUM(C44:N44)</f>
        <v>36420154.0484</v>
      </c>
      <c r="P44" s="168">
        <f>+O44/$O$79</f>
        <v>0.88693257697524785</v>
      </c>
      <c r="Q44" s="199"/>
    </row>
    <row r="45" spans="2:17" x14ac:dyDescent="0.25">
      <c r="B45" s="200" t="s">
        <v>183</v>
      </c>
      <c r="C45" s="57">
        <v>131136</v>
      </c>
      <c r="D45" s="57">
        <v>131136</v>
      </c>
      <c r="E45" s="57">
        <v>131136</v>
      </c>
      <c r="F45" s="57">
        <v>131136</v>
      </c>
      <c r="G45" s="57">
        <v>131136</v>
      </c>
      <c r="H45" s="57">
        <v>131136</v>
      </c>
      <c r="I45" s="57">
        <v>131136</v>
      </c>
      <c r="J45" s="57"/>
      <c r="K45" s="57"/>
      <c r="L45" s="57"/>
      <c r="M45" s="57"/>
      <c r="N45" s="57"/>
      <c r="O45" s="131">
        <f t="shared" ref="O45:O78" si="9">SUM(C45:N45)</f>
        <v>917952</v>
      </c>
      <c r="P45" s="168">
        <f>+O45/$O$79</f>
        <v>2.2354697671449038E-2</v>
      </c>
      <c r="Q45" s="199"/>
    </row>
    <row r="46" spans="2:17" x14ac:dyDescent="0.25">
      <c r="B46" s="200" t="s">
        <v>81</v>
      </c>
      <c r="C46" s="57">
        <v>0</v>
      </c>
      <c r="D46" s="57">
        <v>0</v>
      </c>
      <c r="E46" s="57">
        <v>0</v>
      </c>
      <c r="F46" s="57">
        <v>0</v>
      </c>
      <c r="G46" s="57">
        <v>0</v>
      </c>
      <c r="H46" s="57">
        <v>0</v>
      </c>
      <c r="I46" s="57">
        <v>0</v>
      </c>
      <c r="J46" s="57"/>
      <c r="K46" s="57"/>
      <c r="L46" s="57"/>
      <c r="M46" s="57"/>
      <c r="N46" s="57"/>
      <c r="O46" s="131">
        <f t="shared" si="9"/>
        <v>0</v>
      </c>
      <c r="P46" s="168">
        <f>+O46/$O$79</f>
        <v>0</v>
      </c>
      <c r="Q46" s="161"/>
    </row>
    <row r="47" spans="2:17" x14ac:dyDescent="0.25">
      <c r="B47" s="200" t="s">
        <v>271</v>
      </c>
      <c r="C47" s="57"/>
      <c r="D47" s="57">
        <v>0</v>
      </c>
      <c r="E47" s="57">
        <v>0</v>
      </c>
      <c r="F47" s="57">
        <v>0</v>
      </c>
      <c r="G47" s="57">
        <v>0</v>
      </c>
      <c r="H47" s="57">
        <v>0</v>
      </c>
      <c r="I47" s="57">
        <v>0</v>
      </c>
      <c r="J47" s="57"/>
      <c r="K47" s="57"/>
      <c r="L47" s="57"/>
      <c r="M47" s="57"/>
      <c r="N47" s="57"/>
      <c r="O47" s="131">
        <f t="shared" si="9"/>
        <v>0</v>
      </c>
      <c r="P47" s="168"/>
      <c r="Q47" s="161"/>
    </row>
    <row r="48" spans="2:17" x14ac:dyDescent="0.25">
      <c r="B48" s="200" t="s">
        <v>186</v>
      </c>
      <c r="C48" s="57">
        <v>64000</v>
      </c>
      <c r="D48" s="57">
        <v>255000</v>
      </c>
      <c r="E48" s="57">
        <v>0</v>
      </c>
      <c r="F48" s="57">
        <v>91000</v>
      </c>
      <c r="G48" s="57">
        <v>115000</v>
      </c>
      <c r="H48" s="57">
        <v>75000</v>
      </c>
      <c r="I48" s="57">
        <v>75000</v>
      </c>
      <c r="J48" s="57"/>
      <c r="K48" s="57"/>
      <c r="L48" s="57"/>
      <c r="M48" s="57"/>
      <c r="N48" s="57"/>
      <c r="O48" s="131">
        <f t="shared" si="9"/>
        <v>675000</v>
      </c>
      <c r="P48" s="168">
        <f>+O48/$O$79</f>
        <v>1.6438137210037236E-2</v>
      </c>
      <c r="Q48" s="161"/>
    </row>
    <row r="49" spans="2:17" x14ac:dyDescent="0.25">
      <c r="B49" s="200" t="s">
        <v>280</v>
      </c>
      <c r="C49" s="57"/>
      <c r="D49" s="57"/>
      <c r="E49" s="57"/>
      <c r="F49" s="57">
        <v>0</v>
      </c>
      <c r="G49" s="57">
        <v>0</v>
      </c>
      <c r="H49" s="57">
        <v>0</v>
      </c>
      <c r="I49" s="57">
        <v>0</v>
      </c>
      <c r="J49" s="57"/>
      <c r="K49" s="57"/>
      <c r="L49" s="57"/>
      <c r="M49" s="57"/>
      <c r="N49" s="57"/>
      <c r="O49" s="131">
        <f t="shared" si="9"/>
        <v>0</v>
      </c>
      <c r="P49" s="168"/>
      <c r="Q49" s="161"/>
    </row>
    <row r="50" spans="2:17" x14ac:dyDescent="0.25">
      <c r="B50" s="200" t="s">
        <v>28</v>
      </c>
      <c r="C50" s="57">
        <v>0</v>
      </c>
      <c r="D50" s="57">
        <v>5324.8</v>
      </c>
      <c r="E50" s="57">
        <v>2601.8000000000002</v>
      </c>
      <c r="F50" s="57">
        <v>705.5</v>
      </c>
      <c r="G50" s="57">
        <v>104500.20000000001</v>
      </c>
      <c r="H50" s="57">
        <v>9711.4</v>
      </c>
      <c r="I50" s="57">
        <v>8059.3</v>
      </c>
      <c r="J50" s="57"/>
      <c r="K50" s="57"/>
      <c r="L50" s="57"/>
      <c r="M50" s="57"/>
      <c r="N50" s="57"/>
      <c r="O50" s="131">
        <f t="shared" si="9"/>
        <v>130903.00000000001</v>
      </c>
      <c r="P50" s="168">
        <f t="shared" ref="P50:P57" si="10">+O50/$O$79</f>
        <v>3.1878540373414884E-3</v>
      </c>
      <c r="Q50" s="161"/>
    </row>
    <row r="51" spans="2:17" x14ac:dyDescent="0.25">
      <c r="B51" s="200" t="s">
        <v>121</v>
      </c>
      <c r="C51" s="57">
        <v>0</v>
      </c>
      <c r="D51" s="57">
        <v>0</v>
      </c>
      <c r="E51" s="57">
        <v>0</v>
      </c>
      <c r="F51" s="57">
        <v>0</v>
      </c>
      <c r="G51" s="57">
        <v>0</v>
      </c>
      <c r="H51" s="57">
        <v>206360</v>
      </c>
      <c r="I51" s="57">
        <v>0</v>
      </c>
      <c r="J51" s="57"/>
      <c r="K51" s="57"/>
      <c r="L51" s="57"/>
      <c r="M51" s="57"/>
      <c r="N51" s="57"/>
      <c r="O51" s="131">
        <f t="shared" si="9"/>
        <v>206360</v>
      </c>
      <c r="P51" s="168">
        <f t="shared" si="10"/>
        <v>5.0254429550567175E-3</v>
      </c>
      <c r="Q51" s="161"/>
    </row>
    <row r="52" spans="2:17" x14ac:dyDescent="0.25">
      <c r="B52" s="200" t="s">
        <v>111</v>
      </c>
      <c r="C52" s="57">
        <v>0</v>
      </c>
      <c r="D52" s="57">
        <v>0</v>
      </c>
      <c r="E52" s="57">
        <v>0</v>
      </c>
      <c r="F52" s="57">
        <v>0</v>
      </c>
      <c r="G52" s="57">
        <v>0</v>
      </c>
      <c r="H52" s="57">
        <v>0</v>
      </c>
      <c r="I52" s="57">
        <v>0</v>
      </c>
      <c r="J52" s="57"/>
      <c r="K52" s="57"/>
      <c r="L52" s="57"/>
      <c r="M52" s="57"/>
      <c r="N52" s="57"/>
      <c r="O52" s="131">
        <f t="shared" si="9"/>
        <v>0</v>
      </c>
      <c r="P52" s="168">
        <f t="shared" si="10"/>
        <v>0</v>
      </c>
      <c r="Q52" s="161"/>
    </row>
    <row r="53" spans="2:17" x14ac:dyDescent="0.25">
      <c r="B53" s="200" t="s">
        <v>220</v>
      </c>
      <c r="C53" s="57">
        <v>19507.5</v>
      </c>
      <c r="D53" s="57">
        <v>20183.800000000003</v>
      </c>
      <c r="E53" s="57">
        <v>18533.8</v>
      </c>
      <c r="F53" s="57">
        <v>42841.4</v>
      </c>
      <c r="G53" s="57">
        <v>19121.7</v>
      </c>
      <c r="H53" s="57">
        <v>19121.7</v>
      </c>
      <c r="I53" s="57">
        <v>20111.7</v>
      </c>
      <c r="J53" s="57"/>
      <c r="K53" s="57"/>
      <c r="L53" s="57"/>
      <c r="M53" s="57"/>
      <c r="N53" s="57"/>
      <c r="O53" s="131">
        <f t="shared" si="9"/>
        <v>159421.6</v>
      </c>
      <c r="P53" s="168">
        <f t="shared" si="10"/>
        <v>3.8823616815461814E-3</v>
      </c>
      <c r="Q53" s="161"/>
    </row>
    <row r="54" spans="2:17" x14ac:dyDescent="0.25">
      <c r="B54" s="200" t="s">
        <v>68</v>
      </c>
      <c r="C54" s="57">
        <v>20122.100000000002</v>
      </c>
      <c r="D54" s="57">
        <v>23603.200000000001</v>
      </c>
      <c r="E54" s="57">
        <v>23846.7</v>
      </c>
      <c r="F54" s="57">
        <v>0</v>
      </c>
      <c r="G54" s="57">
        <v>23981.9</v>
      </c>
      <c r="H54" s="57">
        <v>23895.800000000003</v>
      </c>
      <c r="I54" s="57">
        <v>23820.5</v>
      </c>
      <c r="J54" s="57"/>
      <c r="K54" s="57"/>
      <c r="L54" s="57"/>
      <c r="M54" s="57"/>
      <c r="N54" s="57"/>
      <c r="O54" s="131">
        <f t="shared" si="9"/>
        <v>139270.20000000001</v>
      </c>
      <c r="P54" s="168">
        <f t="shared" si="10"/>
        <v>3.3916187509175229E-3</v>
      </c>
      <c r="Q54" s="161"/>
    </row>
    <row r="55" spans="2:17" x14ac:dyDescent="0.25">
      <c r="B55" s="200" t="s">
        <v>187</v>
      </c>
      <c r="C55" s="57">
        <v>20124.600000000002</v>
      </c>
      <c r="D55" s="57">
        <v>120931.20000000001</v>
      </c>
      <c r="E55" s="57">
        <v>0</v>
      </c>
      <c r="F55" s="57">
        <v>0</v>
      </c>
      <c r="G55" s="57">
        <v>0</v>
      </c>
      <c r="H55" s="57">
        <v>29433.4</v>
      </c>
      <c r="I55" s="57">
        <v>0</v>
      </c>
      <c r="J55" s="57"/>
      <c r="K55" s="57"/>
      <c r="L55" s="57"/>
      <c r="M55" s="57"/>
      <c r="N55" s="57"/>
      <c r="O55" s="131">
        <f t="shared" si="9"/>
        <v>170489.2</v>
      </c>
      <c r="P55" s="168">
        <f t="shared" si="10"/>
        <v>4.1518886850807121E-3</v>
      </c>
      <c r="Q55" s="161"/>
    </row>
    <row r="56" spans="2:17" x14ac:dyDescent="0.25">
      <c r="B56" s="200" t="s">
        <v>188</v>
      </c>
      <c r="C56" s="57">
        <v>209220.5</v>
      </c>
      <c r="D56" s="57">
        <v>133911.9</v>
      </c>
      <c r="E56" s="57">
        <v>18072.2</v>
      </c>
      <c r="F56" s="57">
        <v>19453.600000000002</v>
      </c>
      <c r="G56" s="57">
        <v>67741.2</v>
      </c>
      <c r="H56" s="57">
        <v>21785.600000000002</v>
      </c>
      <c r="I56" s="57">
        <v>68932.400000000009</v>
      </c>
      <c r="J56" s="57"/>
      <c r="K56" s="57"/>
      <c r="L56" s="57"/>
      <c r="M56" s="57"/>
      <c r="N56" s="57"/>
      <c r="O56" s="131">
        <f t="shared" si="9"/>
        <v>539117.4</v>
      </c>
      <c r="P56" s="168">
        <f t="shared" si="10"/>
        <v>1.312901599039782E-2</v>
      </c>
      <c r="Q56" s="161"/>
    </row>
    <row r="57" spans="2:17" x14ac:dyDescent="0.25">
      <c r="B57" s="200" t="s">
        <v>263</v>
      </c>
      <c r="C57" s="57">
        <v>419300</v>
      </c>
      <c r="D57" s="57">
        <v>0</v>
      </c>
      <c r="E57" s="57">
        <v>0</v>
      </c>
      <c r="F57" s="57">
        <v>0</v>
      </c>
      <c r="G57" s="57">
        <v>0</v>
      </c>
      <c r="H57" s="57">
        <v>0</v>
      </c>
      <c r="I57" s="57">
        <v>0</v>
      </c>
      <c r="J57" s="57"/>
      <c r="K57" s="57"/>
      <c r="L57" s="57"/>
      <c r="M57" s="57"/>
      <c r="N57" s="57"/>
      <c r="O57" s="131">
        <f t="shared" si="9"/>
        <v>419300</v>
      </c>
      <c r="P57" s="168">
        <f t="shared" si="10"/>
        <v>1.0211127306916465E-2</v>
      </c>
      <c r="Q57" s="161"/>
    </row>
    <row r="58" spans="2:17" x14ac:dyDescent="0.25">
      <c r="B58" s="200" t="s">
        <v>108</v>
      </c>
      <c r="C58" s="57">
        <v>0</v>
      </c>
      <c r="D58" s="57">
        <v>0</v>
      </c>
      <c r="E58" s="57">
        <v>0</v>
      </c>
      <c r="F58" s="57">
        <v>0</v>
      </c>
      <c r="G58" s="57">
        <v>0</v>
      </c>
      <c r="H58" s="57">
        <v>0</v>
      </c>
      <c r="I58" s="57">
        <v>0</v>
      </c>
      <c r="J58" s="57"/>
      <c r="K58" s="57"/>
      <c r="L58" s="57"/>
      <c r="M58" s="57"/>
      <c r="N58" s="57"/>
      <c r="O58" s="131">
        <f t="shared" si="9"/>
        <v>0</v>
      </c>
      <c r="P58" s="168"/>
      <c r="Q58" s="161"/>
    </row>
    <row r="59" spans="2:17" x14ac:dyDescent="0.25">
      <c r="B59" s="200" t="s">
        <v>155</v>
      </c>
      <c r="C59" s="57">
        <v>0</v>
      </c>
      <c r="D59" s="57">
        <v>16000</v>
      </c>
      <c r="E59" s="57">
        <v>2000</v>
      </c>
      <c r="F59" s="57">
        <v>4400</v>
      </c>
      <c r="G59" s="57">
        <v>0</v>
      </c>
      <c r="H59" s="57">
        <v>1500</v>
      </c>
      <c r="I59" s="57">
        <v>0</v>
      </c>
      <c r="J59" s="57"/>
      <c r="K59" s="57"/>
      <c r="L59" s="57"/>
      <c r="M59" s="57"/>
      <c r="N59" s="57"/>
      <c r="O59" s="131">
        <f t="shared" si="9"/>
        <v>23900</v>
      </c>
      <c r="P59" s="168">
        <f t="shared" ref="P59:P72" si="11">+O59/$O$79</f>
        <v>5.8203182121465173E-4</v>
      </c>
      <c r="Q59" s="161"/>
    </row>
    <row r="60" spans="2:17" x14ac:dyDescent="0.25">
      <c r="B60" s="200" t="s">
        <v>115</v>
      </c>
      <c r="C60" s="57">
        <v>0</v>
      </c>
      <c r="D60" s="57">
        <v>0</v>
      </c>
      <c r="E60" s="57">
        <v>0</v>
      </c>
      <c r="F60" s="57">
        <v>0</v>
      </c>
      <c r="G60" s="57">
        <v>0</v>
      </c>
      <c r="H60" s="57">
        <v>0</v>
      </c>
      <c r="I60" s="57">
        <v>0</v>
      </c>
      <c r="J60" s="57"/>
      <c r="K60" s="57"/>
      <c r="L60" s="57"/>
      <c r="M60" s="57"/>
      <c r="N60" s="57"/>
      <c r="O60" s="131">
        <f t="shared" si="9"/>
        <v>0</v>
      </c>
      <c r="P60" s="168">
        <f t="shared" si="11"/>
        <v>0</v>
      </c>
      <c r="Q60" s="161"/>
    </row>
    <row r="61" spans="2:17" x14ac:dyDescent="0.25">
      <c r="B61" s="200" t="s">
        <v>72</v>
      </c>
      <c r="C61" s="57">
        <v>0</v>
      </c>
      <c r="D61" s="57">
        <v>0</v>
      </c>
      <c r="E61" s="57">
        <v>0</v>
      </c>
      <c r="F61" s="57">
        <v>0</v>
      </c>
      <c r="G61" s="57">
        <v>35000</v>
      </c>
      <c r="H61" s="57">
        <v>0</v>
      </c>
      <c r="I61" s="57">
        <v>0</v>
      </c>
      <c r="J61" s="57"/>
      <c r="K61" s="57"/>
      <c r="L61" s="57"/>
      <c r="M61" s="57"/>
      <c r="N61" s="57"/>
      <c r="O61" s="131">
        <f t="shared" si="9"/>
        <v>35000</v>
      </c>
      <c r="P61" s="168">
        <f t="shared" si="11"/>
        <v>8.5234785533526414E-4</v>
      </c>
      <c r="Q61" s="161"/>
    </row>
    <row r="62" spans="2:17" x14ac:dyDescent="0.25">
      <c r="B62" s="200" t="s">
        <v>52</v>
      </c>
      <c r="C62" s="57">
        <v>790</v>
      </c>
      <c r="D62" s="57">
        <v>0</v>
      </c>
      <c r="E62" s="57">
        <v>206470</v>
      </c>
      <c r="F62" s="57">
        <v>790</v>
      </c>
      <c r="G62" s="57">
        <v>47050</v>
      </c>
      <c r="H62" s="57">
        <v>0</v>
      </c>
      <c r="I62" s="57">
        <v>0</v>
      </c>
      <c r="J62" s="57"/>
      <c r="K62" s="57"/>
      <c r="L62" s="57"/>
      <c r="M62" s="57"/>
      <c r="N62" s="57"/>
      <c r="O62" s="131">
        <f t="shared" si="9"/>
        <v>255100</v>
      </c>
      <c r="P62" s="168">
        <f t="shared" si="11"/>
        <v>6.2123982256007395E-3</v>
      </c>
      <c r="Q62" s="161"/>
    </row>
    <row r="63" spans="2:17" x14ac:dyDescent="0.25">
      <c r="B63" s="200" t="s">
        <v>189</v>
      </c>
      <c r="C63" s="57">
        <v>0</v>
      </c>
      <c r="D63" s="57">
        <v>10495.800000000001</v>
      </c>
      <c r="E63" s="57">
        <v>0</v>
      </c>
      <c r="F63" s="57">
        <v>24452.2</v>
      </c>
      <c r="G63" s="57">
        <v>0</v>
      </c>
      <c r="H63" s="57">
        <v>0</v>
      </c>
      <c r="I63" s="57">
        <v>8204.4</v>
      </c>
      <c r="J63" s="57"/>
      <c r="K63" s="57"/>
      <c r="L63" s="57"/>
      <c r="M63" s="57"/>
      <c r="N63" s="57"/>
      <c r="O63" s="131">
        <f t="shared" si="9"/>
        <v>43152.4</v>
      </c>
      <c r="P63" s="168">
        <f t="shared" si="11"/>
        <v>1.0508815883591273E-3</v>
      </c>
      <c r="Q63" s="161"/>
    </row>
    <row r="64" spans="2:17" x14ac:dyDescent="0.25">
      <c r="B64" s="200" t="s">
        <v>190</v>
      </c>
      <c r="C64" s="57">
        <v>0</v>
      </c>
      <c r="D64" s="57">
        <v>0</v>
      </c>
      <c r="E64" s="57">
        <v>0</v>
      </c>
      <c r="F64" s="57">
        <v>0</v>
      </c>
      <c r="G64" s="57">
        <v>0</v>
      </c>
      <c r="H64" s="57">
        <v>0</v>
      </c>
      <c r="I64" s="57">
        <v>0</v>
      </c>
      <c r="J64" s="57"/>
      <c r="K64" s="57"/>
      <c r="L64" s="57"/>
      <c r="M64" s="57"/>
      <c r="N64" s="57"/>
      <c r="O64" s="131">
        <f t="shared" si="9"/>
        <v>0</v>
      </c>
      <c r="P64" s="168">
        <f t="shared" si="11"/>
        <v>0</v>
      </c>
      <c r="Q64" s="161"/>
    </row>
    <row r="65" spans="2:17" x14ac:dyDescent="0.25">
      <c r="B65" s="200" t="s">
        <v>6</v>
      </c>
      <c r="C65" s="57">
        <v>73714.3</v>
      </c>
      <c r="D65" s="57">
        <v>38318</v>
      </c>
      <c r="E65" s="57">
        <v>0</v>
      </c>
      <c r="F65" s="57">
        <v>30000</v>
      </c>
      <c r="G65" s="57">
        <v>0</v>
      </c>
      <c r="H65" s="57">
        <v>9000</v>
      </c>
      <c r="I65" s="57">
        <v>96000</v>
      </c>
      <c r="J65" s="57"/>
      <c r="K65" s="57"/>
      <c r="L65" s="57"/>
      <c r="M65" s="57"/>
      <c r="N65" s="57"/>
      <c r="O65" s="131">
        <f t="shared" si="9"/>
        <v>247032.3</v>
      </c>
      <c r="P65" s="168">
        <f t="shared" si="11"/>
        <v>6.015927174386787E-3</v>
      </c>
      <c r="Q65" s="161"/>
    </row>
    <row r="66" spans="2:17" x14ac:dyDescent="0.25">
      <c r="B66" s="200" t="s">
        <v>191</v>
      </c>
      <c r="C66" s="57">
        <v>18898.100000000002</v>
      </c>
      <c r="D66" s="57">
        <v>18898.100000000002</v>
      </c>
      <c r="E66" s="57">
        <v>18898.100000000002</v>
      </c>
      <c r="F66" s="57">
        <v>18898.100000000002</v>
      </c>
      <c r="G66" s="57">
        <v>18898.100000000002</v>
      </c>
      <c r="H66" s="57">
        <v>38617.300000000003</v>
      </c>
      <c r="I66" s="57">
        <v>38617.300000000003</v>
      </c>
      <c r="J66" s="57"/>
      <c r="K66" s="57"/>
      <c r="L66" s="57"/>
      <c r="M66" s="57"/>
      <c r="N66" s="57"/>
      <c r="O66" s="131">
        <f t="shared" si="9"/>
        <v>171725.10000000003</v>
      </c>
      <c r="P66" s="168">
        <f t="shared" si="11"/>
        <v>4.1819863054923939E-3</v>
      </c>
      <c r="Q66" s="161"/>
    </row>
    <row r="67" spans="2:17" x14ac:dyDescent="0.25">
      <c r="B67" s="200" t="s">
        <v>272</v>
      </c>
      <c r="C67" s="57">
        <v>0</v>
      </c>
      <c r="D67" s="57">
        <v>0</v>
      </c>
      <c r="E67" s="57">
        <v>0</v>
      </c>
      <c r="F67" s="57">
        <v>0</v>
      </c>
      <c r="G67" s="57">
        <v>0</v>
      </c>
      <c r="H67" s="57">
        <v>0</v>
      </c>
      <c r="I67" s="57">
        <v>0</v>
      </c>
      <c r="J67" s="57"/>
      <c r="K67" s="57"/>
      <c r="L67" s="57"/>
      <c r="M67" s="57"/>
      <c r="N67" s="57"/>
      <c r="O67" s="131">
        <f t="shared" si="9"/>
        <v>0</v>
      </c>
      <c r="P67" s="168">
        <f t="shared" si="11"/>
        <v>0</v>
      </c>
      <c r="Q67" s="161"/>
    </row>
    <row r="68" spans="2:17" x14ac:dyDescent="0.25">
      <c r="B68" s="200" t="s">
        <v>192</v>
      </c>
      <c r="C68" s="57">
        <v>0</v>
      </c>
      <c r="D68" s="57">
        <v>71007</v>
      </c>
      <c r="E68" s="57">
        <v>20665.300000000003</v>
      </c>
      <c r="F68" s="57">
        <v>9929.6</v>
      </c>
      <c r="G68" s="57">
        <v>4699</v>
      </c>
      <c r="H68" s="57">
        <v>79981.5</v>
      </c>
      <c r="I68" s="57">
        <v>5190</v>
      </c>
      <c r="J68" s="57"/>
      <c r="K68" s="57"/>
      <c r="L68" s="57"/>
      <c r="M68" s="57"/>
      <c r="N68" s="57"/>
      <c r="O68" s="131">
        <f t="shared" si="9"/>
        <v>191472.40000000002</v>
      </c>
      <c r="P68" s="168">
        <f t="shared" si="11"/>
        <v>4.6628882713113098E-3</v>
      </c>
      <c r="Q68" s="161"/>
    </row>
    <row r="69" spans="2:17" x14ac:dyDescent="0.25">
      <c r="B69" s="200" t="s">
        <v>247</v>
      </c>
      <c r="C69" s="57">
        <v>21522.100000000002</v>
      </c>
      <c r="D69" s="57">
        <v>23760.9</v>
      </c>
      <c r="E69" s="57">
        <v>30875.9</v>
      </c>
      <c r="F69" s="57">
        <v>13860.7</v>
      </c>
      <c r="G69" s="57">
        <v>23082.2</v>
      </c>
      <c r="H69" s="57">
        <v>0</v>
      </c>
      <c r="I69" s="57">
        <v>9403.6</v>
      </c>
      <c r="J69" s="57"/>
      <c r="K69" s="57"/>
      <c r="L69" s="57"/>
      <c r="M69" s="57"/>
      <c r="N69" s="57"/>
      <c r="O69" s="131">
        <f t="shared" si="9"/>
        <v>122505.4</v>
      </c>
      <c r="P69" s="168">
        <f t="shared" si="11"/>
        <v>2.9833489987711047E-3</v>
      </c>
      <c r="Q69" s="161"/>
    </row>
    <row r="70" spans="2:17" x14ac:dyDescent="0.25">
      <c r="B70" s="200" t="s">
        <v>48</v>
      </c>
      <c r="C70" s="57">
        <v>27640</v>
      </c>
      <c r="D70" s="57">
        <v>41200</v>
      </c>
      <c r="E70" s="57">
        <v>23965</v>
      </c>
      <c r="F70" s="57">
        <v>13800</v>
      </c>
      <c r="G70" s="57">
        <v>24560</v>
      </c>
      <c r="H70" s="57">
        <v>14500</v>
      </c>
      <c r="I70" s="57">
        <v>20200</v>
      </c>
      <c r="J70" s="57"/>
      <c r="K70" s="57"/>
      <c r="L70" s="57"/>
      <c r="M70" s="57"/>
      <c r="N70" s="57"/>
      <c r="O70" s="131">
        <f t="shared" si="9"/>
        <v>165865</v>
      </c>
      <c r="P70" s="168">
        <f t="shared" si="11"/>
        <v>4.0392764864338165E-3</v>
      </c>
      <c r="Q70" s="161"/>
    </row>
    <row r="71" spans="2:17" x14ac:dyDescent="0.25">
      <c r="B71" s="200" t="s">
        <v>49</v>
      </c>
      <c r="C71" s="57">
        <v>420.20000000000005</v>
      </c>
      <c r="D71" s="57">
        <v>2020.2</v>
      </c>
      <c r="E71" s="57">
        <v>420.20000000000005</v>
      </c>
      <c r="F71" s="57">
        <v>2394.9</v>
      </c>
      <c r="G71" s="57">
        <v>420.20000000000005</v>
      </c>
      <c r="H71" s="57">
        <v>1260.5</v>
      </c>
      <c r="I71" s="57">
        <v>1680.7</v>
      </c>
      <c r="J71" s="57"/>
      <c r="K71" s="57"/>
      <c r="L71" s="57"/>
      <c r="M71" s="57"/>
      <c r="N71" s="57"/>
      <c r="O71" s="131">
        <f t="shared" si="9"/>
        <v>8616.9</v>
      </c>
      <c r="P71" s="168">
        <f t="shared" si="11"/>
        <v>2.0984560670395534E-4</v>
      </c>
      <c r="Q71" s="161"/>
    </row>
    <row r="72" spans="2:17" hidden="1" x14ac:dyDescent="0.25">
      <c r="B72" s="200" t="s">
        <v>193</v>
      </c>
      <c r="C72" s="57">
        <v>0</v>
      </c>
      <c r="D72" s="57">
        <v>0</v>
      </c>
      <c r="E72" s="57">
        <v>0</v>
      </c>
      <c r="F72" s="57">
        <v>0</v>
      </c>
      <c r="G72" s="57">
        <v>0</v>
      </c>
      <c r="H72" s="57">
        <v>0</v>
      </c>
      <c r="I72" s="57">
        <v>0</v>
      </c>
      <c r="J72" s="57"/>
      <c r="K72" s="57"/>
      <c r="L72" s="57"/>
      <c r="M72" s="57"/>
      <c r="N72" s="57"/>
      <c r="O72" s="131">
        <f t="shared" si="9"/>
        <v>0</v>
      </c>
      <c r="P72" s="168">
        <f t="shared" si="11"/>
        <v>0</v>
      </c>
      <c r="Q72" s="161"/>
    </row>
    <row r="73" spans="2:17" hidden="1" x14ac:dyDescent="0.25">
      <c r="B73" s="200" t="s">
        <v>281</v>
      </c>
      <c r="C73" s="57">
        <v>0</v>
      </c>
      <c r="D73" s="57">
        <v>0</v>
      </c>
      <c r="E73" s="57">
        <v>0</v>
      </c>
      <c r="F73" s="57">
        <v>0</v>
      </c>
      <c r="G73" s="57">
        <v>0</v>
      </c>
      <c r="H73" s="57">
        <v>0</v>
      </c>
      <c r="I73" s="57">
        <v>0</v>
      </c>
      <c r="J73" s="57"/>
      <c r="K73" s="57"/>
      <c r="L73" s="57"/>
      <c r="M73" s="57"/>
      <c r="N73" s="57"/>
      <c r="O73" s="131">
        <f t="shared" si="9"/>
        <v>0</v>
      </c>
      <c r="P73" s="168">
        <f t="shared" ref="P73:P77" si="12">+O73/$O$79</f>
        <v>0</v>
      </c>
      <c r="Q73" s="161"/>
    </row>
    <row r="74" spans="2:17" hidden="1" x14ac:dyDescent="0.25">
      <c r="B74" s="200" t="s">
        <v>282</v>
      </c>
      <c r="C74" s="57">
        <v>0</v>
      </c>
      <c r="D74" s="57">
        <v>0</v>
      </c>
      <c r="E74" s="57">
        <v>0</v>
      </c>
      <c r="F74" s="57">
        <v>0</v>
      </c>
      <c r="G74" s="57">
        <v>0</v>
      </c>
      <c r="H74" s="57">
        <v>0</v>
      </c>
      <c r="I74" s="57">
        <v>0</v>
      </c>
      <c r="J74" s="57"/>
      <c r="K74" s="57"/>
      <c r="L74" s="57"/>
      <c r="M74" s="57"/>
      <c r="N74" s="57"/>
      <c r="O74" s="131">
        <f t="shared" si="9"/>
        <v>0</v>
      </c>
      <c r="P74" s="168">
        <f t="shared" si="12"/>
        <v>0</v>
      </c>
      <c r="Q74" s="161"/>
    </row>
    <row r="75" spans="2:17" hidden="1" x14ac:dyDescent="0.25">
      <c r="B75" s="200" t="s">
        <v>265</v>
      </c>
      <c r="C75" s="57"/>
      <c r="D75" s="57"/>
      <c r="E75" s="57"/>
      <c r="F75" s="57">
        <v>0</v>
      </c>
      <c r="G75" s="57">
        <v>0</v>
      </c>
      <c r="H75" s="57">
        <v>0</v>
      </c>
      <c r="I75" s="57">
        <v>0</v>
      </c>
      <c r="J75" s="57"/>
      <c r="K75" s="57"/>
      <c r="L75" s="57"/>
      <c r="M75" s="57"/>
      <c r="N75" s="57"/>
      <c r="O75" s="131">
        <f t="shared" si="9"/>
        <v>0</v>
      </c>
      <c r="P75" s="168">
        <f t="shared" si="12"/>
        <v>0</v>
      </c>
      <c r="Q75" s="161"/>
    </row>
    <row r="76" spans="2:17" hidden="1" x14ac:dyDescent="0.25">
      <c r="B76" s="200" t="s">
        <v>283</v>
      </c>
      <c r="C76" s="57"/>
      <c r="D76" s="57"/>
      <c r="E76" s="57"/>
      <c r="F76" s="57">
        <v>0</v>
      </c>
      <c r="G76" s="57">
        <v>0</v>
      </c>
      <c r="H76" s="57">
        <v>0</v>
      </c>
      <c r="I76" s="57">
        <v>0</v>
      </c>
      <c r="J76" s="57"/>
      <c r="K76" s="57"/>
      <c r="L76" s="57"/>
      <c r="M76" s="57"/>
      <c r="N76" s="57"/>
      <c r="O76" s="131">
        <f t="shared" si="9"/>
        <v>0</v>
      </c>
      <c r="P76" s="168">
        <f t="shared" si="12"/>
        <v>0</v>
      </c>
      <c r="Q76" s="161"/>
    </row>
    <row r="77" spans="2:17" hidden="1" x14ac:dyDescent="0.25">
      <c r="B77" s="200" t="s">
        <v>232</v>
      </c>
      <c r="C77" s="57">
        <v>0</v>
      </c>
      <c r="D77" s="57">
        <v>0</v>
      </c>
      <c r="E77" s="57">
        <v>0</v>
      </c>
      <c r="F77" s="57">
        <v>0</v>
      </c>
      <c r="G77" s="57">
        <v>0</v>
      </c>
      <c r="H77" s="57">
        <v>0</v>
      </c>
      <c r="I77" s="57">
        <v>0</v>
      </c>
      <c r="J77" s="57"/>
      <c r="K77" s="57"/>
      <c r="L77" s="57"/>
      <c r="M77" s="57"/>
      <c r="N77" s="57"/>
      <c r="O77" s="131">
        <f t="shared" si="9"/>
        <v>0</v>
      </c>
      <c r="P77" s="168">
        <f t="shared" si="12"/>
        <v>0</v>
      </c>
      <c r="Q77" s="161"/>
    </row>
    <row r="78" spans="2:17" x14ac:dyDescent="0.25">
      <c r="B78" s="200" t="s">
        <v>70</v>
      </c>
      <c r="C78" s="57">
        <v>0</v>
      </c>
      <c r="D78" s="57">
        <v>0</v>
      </c>
      <c r="E78" s="57">
        <v>0</v>
      </c>
      <c r="F78" s="57">
        <v>0</v>
      </c>
      <c r="G78" s="57">
        <v>0</v>
      </c>
      <c r="H78" s="57">
        <v>20710</v>
      </c>
      <c r="I78" s="57">
        <v>0</v>
      </c>
      <c r="J78" s="57"/>
      <c r="K78" s="57"/>
      <c r="L78" s="57"/>
      <c r="M78" s="57"/>
      <c r="N78" s="57"/>
      <c r="O78" s="131">
        <f t="shared" si="9"/>
        <v>20710</v>
      </c>
      <c r="P78" s="168">
        <f>+O78/$O$79</f>
        <v>5.0434640239980914E-4</v>
      </c>
      <c r="Q78" s="161"/>
    </row>
    <row r="79" spans="2:17" x14ac:dyDescent="0.25">
      <c r="B79" s="202" t="s">
        <v>9</v>
      </c>
      <c r="C79" s="60">
        <f>SUM(C44:C78)</f>
        <v>3372161.4000000004</v>
      </c>
      <c r="D79" s="60">
        <f t="shared" ref="D79:F79" si="13">SUM(D44:D78)</f>
        <v>6868651.9000000004</v>
      </c>
      <c r="E79" s="60">
        <f t="shared" si="13"/>
        <v>5770616.2000000002</v>
      </c>
      <c r="F79" s="60">
        <f t="shared" si="13"/>
        <v>5940971.5999999996</v>
      </c>
      <c r="G79" s="60">
        <f t="shared" ref="G79:O79" si="14">SUM(G44:G78)</f>
        <v>7026596.2508000014</v>
      </c>
      <c r="H79" s="60">
        <f t="shared" si="14"/>
        <v>6111853.4488000004</v>
      </c>
      <c r="I79" s="60">
        <f t="shared" si="14"/>
        <v>5972196.1488000005</v>
      </c>
      <c r="J79" s="60">
        <f t="shared" si="14"/>
        <v>0</v>
      </c>
      <c r="K79" s="60">
        <f t="shared" si="14"/>
        <v>0</v>
      </c>
      <c r="L79" s="60">
        <f t="shared" si="14"/>
        <v>0</v>
      </c>
      <c r="M79" s="60">
        <f t="shared" si="14"/>
        <v>0</v>
      </c>
      <c r="N79" s="60">
        <f t="shared" si="14"/>
        <v>0</v>
      </c>
      <c r="O79" s="60">
        <f t="shared" si="14"/>
        <v>41063046.948399998</v>
      </c>
      <c r="P79" s="129">
        <f>+O79/O135</f>
        <v>9.6377456664005337E-2</v>
      </c>
      <c r="Q79" s="160"/>
    </row>
    <row r="80" spans="2:17" x14ac:dyDescent="0.25">
      <c r="B80" s="197" t="s">
        <v>229</v>
      </c>
      <c r="C80" s="154"/>
      <c r="D80" s="154"/>
      <c r="E80" s="154"/>
      <c r="F80" s="154"/>
      <c r="G80" s="154"/>
      <c r="H80" s="154"/>
      <c r="I80" s="154"/>
      <c r="J80" s="154"/>
      <c r="K80" s="154"/>
      <c r="L80" s="154"/>
      <c r="M80" s="154"/>
      <c r="N80" s="154"/>
      <c r="O80" s="154"/>
      <c r="P80" s="154"/>
      <c r="Q80" s="199">
        <v>8</v>
      </c>
    </row>
    <row r="81" spans="2:17" x14ac:dyDescent="0.25">
      <c r="B81" s="218" t="s">
        <v>69</v>
      </c>
      <c r="C81" s="170">
        <f>+'EJECUCION SOC ENE 24'!K11+'EJECUCION SOC ENE 24'!S11</f>
        <v>8272978.4000000004</v>
      </c>
      <c r="D81" s="171">
        <f>+'EJECUCION SOC FEB 24'!K12+'EJECUCION SOC FEB 24'!S12</f>
        <v>12318505.140000001</v>
      </c>
      <c r="E81" s="171">
        <f>+'EJECUCION SOCIAL MARZO 24'!K12+'EJECUCION SOCIAL MARZO 24'!S12</f>
        <v>10955641.140000001</v>
      </c>
      <c r="F81" s="171">
        <f>+'EJECUCION SOCIAL ABRIL 24'!K12+'EJECUCION SOCIAL ABRIL 24'!S12</f>
        <v>12370831.370000001</v>
      </c>
      <c r="G81" s="171">
        <f>+'EJECUCION SOCIAL MAY 24'!K12+'EJECUCION SOCIAL MAY 24'!S12</f>
        <v>14672431.97456</v>
      </c>
      <c r="H81" s="171">
        <f>+'EJECUCION SOCIAL JUN 24'!K12+'EJECUCION SOCIAL JUN 24'!S12</f>
        <v>11548771.988159999</v>
      </c>
      <c r="I81" s="171"/>
      <c r="J81" s="171"/>
      <c r="K81" s="171"/>
      <c r="L81" s="171"/>
      <c r="M81" s="171"/>
      <c r="N81" s="171"/>
      <c r="O81" s="172">
        <f>SUM(C81:N81)</f>
        <v>70139160.012719989</v>
      </c>
      <c r="P81" s="173">
        <f>+O81/$O$118</f>
        <v>0.21600876850260867</v>
      </c>
      <c r="Q81" s="199"/>
    </row>
    <row r="82" spans="2:17" x14ac:dyDescent="0.25">
      <c r="B82" s="218" t="s">
        <v>183</v>
      </c>
      <c r="C82" s="170">
        <v>1180224</v>
      </c>
      <c r="D82" s="170">
        <v>1180224</v>
      </c>
      <c r="E82" s="170">
        <v>1180224</v>
      </c>
      <c r="F82" s="170">
        <v>1180224</v>
      </c>
      <c r="G82" s="170">
        <v>1180224</v>
      </c>
      <c r="H82" s="170">
        <v>1180224</v>
      </c>
      <c r="I82" s="170"/>
      <c r="J82" s="170"/>
      <c r="K82" s="170"/>
      <c r="L82" s="170"/>
      <c r="M82" s="170"/>
      <c r="N82" s="170"/>
      <c r="O82" s="172">
        <f t="shared" ref="O82:O117" si="15">SUM(C82:N82)</f>
        <v>7081344</v>
      </c>
      <c r="P82" s="173">
        <f t="shared" ref="P82:P116" si="16">+O82/$O$118</f>
        <v>2.1808536009070147E-2</v>
      </c>
      <c r="Q82" s="161"/>
    </row>
    <row r="83" spans="2:17" x14ac:dyDescent="0.25">
      <c r="B83" s="218" t="s">
        <v>81</v>
      </c>
      <c r="C83" s="170">
        <v>6260</v>
      </c>
      <c r="D83" s="170">
        <v>0</v>
      </c>
      <c r="E83" s="170">
        <v>13744</v>
      </c>
      <c r="F83" s="170">
        <v>0</v>
      </c>
      <c r="G83" s="170">
        <v>13618</v>
      </c>
      <c r="H83" s="170">
        <v>0</v>
      </c>
      <c r="I83" s="170"/>
      <c r="J83" s="170"/>
      <c r="K83" s="170"/>
      <c r="L83" s="170"/>
      <c r="M83" s="170"/>
      <c r="N83" s="170"/>
      <c r="O83" s="172">
        <f t="shared" si="15"/>
        <v>33622</v>
      </c>
      <c r="P83" s="173">
        <f t="shared" si="16"/>
        <v>1.0354624739272043E-4</v>
      </c>
      <c r="Q83" s="161"/>
    </row>
    <row r="84" spans="2:17" x14ac:dyDescent="0.25">
      <c r="B84" s="218" t="s">
        <v>271</v>
      </c>
      <c r="C84" s="170"/>
      <c r="D84" s="170">
        <v>1000000</v>
      </c>
      <c r="E84" s="170">
        <v>1000000</v>
      </c>
      <c r="F84" s="170">
        <v>1000000</v>
      </c>
      <c r="G84" s="170">
        <v>1000000</v>
      </c>
      <c r="H84" s="170">
        <v>1000000</v>
      </c>
      <c r="I84" s="170"/>
      <c r="J84" s="170"/>
      <c r="K84" s="170"/>
      <c r="L84" s="170"/>
      <c r="M84" s="170"/>
      <c r="N84" s="170"/>
      <c r="O84" s="172">
        <f t="shared" si="15"/>
        <v>5000000</v>
      </c>
      <c r="P84" s="173">
        <f t="shared" si="16"/>
        <v>1.5398585359693124E-2</v>
      </c>
      <c r="Q84" s="161"/>
    </row>
    <row r="85" spans="2:17" x14ac:dyDescent="0.25">
      <c r="B85" s="218" t="s">
        <v>186</v>
      </c>
      <c r="C85" s="170">
        <v>576000</v>
      </c>
      <c r="D85" s="170">
        <v>2295000</v>
      </c>
      <c r="E85" s="170">
        <v>0</v>
      </c>
      <c r="F85" s="170">
        <v>819000</v>
      </c>
      <c r="G85" s="170">
        <v>1035000</v>
      </c>
      <c r="H85" s="170">
        <v>675000</v>
      </c>
      <c r="I85" s="170"/>
      <c r="J85" s="170"/>
      <c r="K85" s="170"/>
      <c r="L85" s="170"/>
      <c r="M85" s="170"/>
      <c r="N85" s="170"/>
      <c r="O85" s="172">
        <f t="shared" si="15"/>
        <v>5400000</v>
      </c>
      <c r="P85" s="173">
        <f t="shared" si="16"/>
        <v>1.6630472188468574E-2</v>
      </c>
      <c r="Q85" s="161"/>
    </row>
    <row r="86" spans="2:17" x14ac:dyDescent="0.25">
      <c r="B86" s="218" t="s">
        <v>280</v>
      </c>
      <c r="C86" s="170"/>
      <c r="D86" s="170"/>
      <c r="E86" s="170"/>
      <c r="F86" s="170">
        <v>3953130</v>
      </c>
      <c r="G86" s="170">
        <v>0</v>
      </c>
      <c r="H86" s="170">
        <v>0</v>
      </c>
      <c r="I86" s="170"/>
      <c r="J86" s="170"/>
      <c r="K86" s="170"/>
      <c r="L86" s="170"/>
      <c r="M86" s="170"/>
      <c r="N86" s="170"/>
      <c r="O86" s="172">
        <f t="shared" si="15"/>
        <v>3953130</v>
      </c>
      <c r="P86" s="173">
        <f t="shared" si="16"/>
        <v>1.2174521948592735E-2</v>
      </c>
      <c r="Q86" s="161"/>
    </row>
    <row r="87" spans="2:17" x14ac:dyDescent="0.25">
      <c r="B87" s="219" t="s">
        <v>28</v>
      </c>
      <c r="C87" s="170">
        <v>0</v>
      </c>
      <c r="D87" s="170">
        <v>47923.200000000004</v>
      </c>
      <c r="E87" s="170">
        <v>23416.199999999997</v>
      </c>
      <c r="F87" s="170">
        <v>6349.5</v>
      </c>
      <c r="G87" s="170">
        <v>940501.79999999981</v>
      </c>
      <c r="H87" s="170">
        <v>87402.599999999991</v>
      </c>
      <c r="I87" s="170"/>
      <c r="J87" s="170"/>
      <c r="K87" s="170"/>
      <c r="L87" s="170"/>
      <c r="M87" s="170"/>
      <c r="N87" s="170"/>
      <c r="O87" s="172">
        <f t="shared" si="15"/>
        <v>1105593.2999999998</v>
      </c>
      <c r="P87" s="173">
        <f t="shared" si="16"/>
        <v>3.4049145606309607E-3</v>
      </c>
      <c r="Q87" s="161"/>
    </row>
    <row r="88" spans="2:17" x14ac:dyDescent="0.25">
      <c r="B88" s="219" t="s">
        <v>121</v>
      </c>
      <c r="C88" s="170">
        <v>0</v>
      </c>
      <c r="D88" s="170">
        <v>0</v>
      </c>
      <c r="E88" s="170">
        <v>0</v>
      </c>
      <c r="F88" s="170">
        <v>0</v>
      </c>
      <c r="G88" s="170">
        <v>0</v>
      </c>
      <c r="H88" s="170">
        <v>1857240</v>
      </c>
      <c r="I88" s="170"/>
      <c r="J88" s="170"/>
      <c r="K88" s="170"/>
      <c r="L88" s="170"/>
      <c r="M88" s="170"/>
      <c r="N88" s="170"/>
      <c r="O88" s="172">
        <f t="shared" si="15"/>
        <v>1857240</v>
      </c>
      <c r="P88" s="173">
        <f t="shared" si="16"/>
        <v>5.7197737346872911E-3</v>
      </c>
      <c r="Q88" s="161"/>
    </row>
    <row r="89" spans="2:17" x14ac:dyDescent="0.25">
      <c r="B89" s="219" t="s">
        <v>111</v>
      </c>
      <c r="C89" s="170">
        <v>517814</v>
      </c>
      <c r="D89" s="170">
        <v>517814</v>
      </c>
      <c r="E89" s="170">
        <v>517767</v>
      </c>
      <c r="F89" s="170">
        <v>517767</v>
      </c>
      <c r="G89" s="170">
        <v>517407</v>
      </c>
      <c r="H89" s="170">
        <v>517767</v>
      </c>
      <c r="I89" s="170"/>
      <c r="J89" s="170"/>
      <c r="K89" s="170"/>
      <c r="L89" s="170"/>
      <c r="M89" s="170"/>
      <c r="N89" s="170"/>
      <c r="O89" s="172">
        <f t="shared" si="15"/>
        <v>3106336</v>
      </c>
      <c r="P89" s="173">
        <f t="shared" si="16"/>
        <v>9.566636010377539E-3</v>
      </c>
      <c r="Q89" s="161"/>
    </row>
    <row r="90" spans="2:17" x14ac:dyDescent="0.25">
      <c r="B90" s="219" t="s">
        <v>220</v>
      </c>
      <c r="C90" s="170">
        <v>175567.5</v>
      </c>
      <c r="D90" s="170">
        <v>181654.2</v>
      </c>
      <c r="E90" s="170">
        <v>166804.19999999998</v>
      </c>
      <c r="F90" s="170">
        <v>385572.60000000003</v>
      </c>
      <c r="G90" s="170">
        <v>172095.30000000002</v>
      </c>
      <c r="H90" s="170">
        <v>172095.30000000002</v>
      </c>
      <c r="I90" s="170"/>
      <c r="J90" s="170"/>
      <c r="K90" s="170"/>
      <c r="L90" s="170"/>
      <c r="M90" s="170"/>
      <c r="N90" s="170"/>
      <c r="O90" s="172">
        <f t="shared" si="15"/>
        <v>1253789.1000000001</v>
      </c>
      <c r="P90" s="173">
        <f t="shared" si="16"/>
        <v>3.8613156958805638E-3</v>
      </c>
      <c r="Q90" s="161"/>
    </row>
    <row r="91" spans="2:17" x14ac:dyDescent="0.25">
      <c r="B91" s="219" t="s">
        <v>68</v>
      </c>
      <c r="C91" s="170">
        <v>181098.89999999997</v>
      </c>
      <c r="D91" s="170">
        <v>212428.80000000002</v>
      </c>
      <c r="E91" s="170">
        <v>214620.30000000002</v>
      </c>
      <c r="F91" s="170">
        <v>0</v>
      </c>
      <c r="G91" s="170">
        <v>215837.10000000003</v>
      </c>
      <c r="H91" s="170">
        <v>215062.19999999998</v>
      </c>
      <c r="I91" s="170"/>
      <c r="J91" s="170"/>
      <c r="K91" s="170"/>
      <c r="L91" s="170"/>
      <c r="M91" s="170"/>
      <c r="N91" s="170"/>
      <c r="O91" s="172">
        <f t="shared" si="15"/>
        <v>1039047.3</v>
      </c>
      <c r="P91" s="173">
        <f t="shared" si="16"/>
        <v>3.1999717083617337E-3</v>
      </c>
      <c r="Q91" s="161"/>
    </row>
    <row r="92" spans="2:17" x14ac:dyDescent="0.25">
      <c r="B92" s="219" t="s">
        <v>187</v>
      </c>
      <c r="C92" s="170">
        <v>181121.4</v>
      </c>
      <c r="D92" s="170">
        <v>1088380.8</v>
      </c>
      <c r="E92" s="170">
        <v>0</v>
      </c>
      <c r="F92" s="170">
        <v>0</v>
      </c>
      <c r="G92" s="170">
        <v>0</v>
      </c>
      <c r="H92" s="170">
        <v>264900.60000000003</v>
      </c>
      <c r="I92" s="170"/>
      <c r="J92" s="170"/>
      <c r="K92" s="170"/>
      <c r="L92" s="170"/>
      <c r="M92" s="170"/>
      <c r="N92" s="170"/>
      <c r="O92" s="172">
        <f t="shared" si="15"/>
        <v>1534402.8</v>
      </c>
      <c r="P92" s="173">
        <f t="shared" si="16"/>
        <v>4.7255264983904269E-3</v>
      </c>
      <c r="Q92" s="161"/>
    </row>
    <row r="93" spans="2:17" x14ac:dyDescent="0.25">
      <c r="B93" s="219" t="s">
        <v>188</v>
      </c>
      <c r="C93" s="170">
        <v>1882984.5000000002</v>
      </c>
      <c r="D93" s="170">
        <v>1205207.0999999999</v>
      </c>
      <c r="E93" s="170">
        <v>162649.79999999999</v>
      </c>
      <c r="F93" s="170">
        <v>175082.4</v>
      </c>
      <c r="G93" s="170">
        <v>609670.80000000005</v>
      </c>
      <c r="H93" s="170">
        <v>196070.39999999999</v>
      </c>
      <c r="I93" s="170"/>
      <c r="J93" s="170"/>
      <c r="K93" s="170"/>
      <c r="L93" s="170"/>
      <c r="M93" s="170"/>
      <c r="N93" s="170"/>
      <c r="O93" s="172">
        <f t="shared" si="15"/>
        <v>4231665</v>
      </c>
      <c r="P93" s="173">
        <f t="shared" si="16"/>
        <v>1.3032330943225159E-2</v>
      </c>
      <c r="Q93" s="161"/>
    </row>
    <row r="94" spans="2:17" x14ac:dyDescent="0.25">
      <c r="B94" s="219" t="s">
        <v>263</v>
      </c>
      <c r="C94" s="170">
        <v>3773700</v>
      </c>
      <c r="D94" s="170">
        <v>0</v>
      </c>
      <c r="E94" s="170">
        <v>0</v>
      </c>
      <c r="F94" s="170">
        <v>0</v>
      </c>
      <c r="G94" s="170">
        <v>0</v>
      </c>
      <c r="H94" s="170">
        <v>0</v>
      </c>
      <c r="I94" s="170"/>
      <c r="J94" s="170"/>
      <c r="K94" s="170"/>
      <c r="L94" s="170"/>
      <c r="M94" s="170"/>
      <c r="N94" s="170"/>
      <c r="O94" s="172">
        <f t="shared" si="15"/>
        <v>3773700</v>
      </c>
      <c r="P94" s="173">
        <f t="shared" si="16"/>
        <v>1.1621928314374788E-2</v>
      </c>
      <c r="Q94" s="161"/>
    </row>
    <row r="95" spans="2:17" x14ac:dyDescent="0.25">
      <c r="B95" s="220" t="s">
        <v>108</v>
      </c>
      <c r="C95" s="170">
        <v>0</v>
      </c>
      <c r="D95" s="170">
        <v>0</v>
      </c>
      <c r="E95" s="170">
        <v>0</v>
      </c>
      <c r="F95" s="170">
        <v>0</v>
      </c>
      <c r="G95" s="170">
        <v>0</v>
      </c>
      <c r="H95" s="170">
        <v>0</v>
      </c>
      <c r="I95" s="170"/>
      <c r="J95" s="170"/>
      <c r="K95" s="170"/>
      <c r="L95" s="170"/>
      <c r="M95" s="170"/>
      <c r="N95" s="170"/>
      <c r="O95" s="172">
        <f t="shared" si="15"/>
        <v>0</v>
      </c>
      <c r="P95" s="173">
        <f t="shared" si="16"/>
        <v>0</v>
      </c>
      <c r="Q95" s="161"/>
    </row>
    <row r="96" spans="2:17" x14ac:dyDescent="0.25">
      <c r="B96" s="220" t="s">
        <v>155</v>
      </c>
      <c r="C96" s="170">
        <v>0</v>
      </c>
      <c r="D96" s="170">
        <v>144000</v>
      </c>
      <c r="E96" s="170">
        <v>18000</v>
      </c>
      <c r="F96" s="170">
        <v>39600</v>
      </c>
      <c r="G96" s="170">
        <v>0</v>
      </c>
      <c r="H96" s="170">
        <v>13500</v>
      </c>
      <c r="I96" s="170"/>
      <c r="J96" s="170"/>
      <c r="K96" s="170"/>
      <c r="L96" s="170"/>
      <c r="M96" s="170"/>
      <c r="N96" s="170"/>
      <c r="O96" s="172">
        <f t="shared" si="15"/>
        <v>215100</v>
      </c>
      <c r="P96" s="173">
        <f t="shared" si="16"/>
        <v>6.624471421739982E-4</v>
      </c>
      <c r="Q96" s="161"/>
    </row>
    <row r="97" spans="2:18" x14ac:dyDescent="0.25">
      <c r="B97" s="221" t="s">
        <v>115</v>
      </c>
      <c r="C97" s="170">
        <v>0</v>
      </c>
      <c r="D97" s="170">
        <v>0</v>
      </c>
      <c r="E97" s="170">
        <v>0</v>
      </c>
      <c r="F97" s="170">
        <v>0</v>
      </c>
      <c r="G97" s="170">
        <v>0</v>
      </c>
      <c r="H97" s="170">
        <v>0</v>
      </c>
      <c r="I97" s="170"/>
      <c r="J97" s="170"/>
      <c r="K97" s="170"/>
      <c r="L97" s="170"/>
      <c r="M97" s="170"/>
      <c r="N97" s="170"/>
      <c r="O97" s="172">
        <f t="shared" si="15"/>
        <v>0</v>
      </c>
      <c r="P97" s="173">
        <f t="shared" si="16"/>
        <v>0</v>
      </c>
      <c r="Q97" s="161"/>
    </row>
    <row r="98" spans="2:18" x14ac:dyDescent="0.25">
      <c r="B98" s="221" t="s">
        <v>72</v>
      </c>
      <c r="C98" s="170">
        <v>0</v>
      </c>
      <c r="D98" s="170">
        <v>0</v>
      </c>
      <c r="E98" s="170">
        <v>0</v>
      </c>
      <c r="F98" s="170">
        <v>0</v>
      </c>
      <c r="G98" s="170">
        <v>315000</v>
      </c>
      <c r="H98" s="170">
        <v>0</v>
      </c>
      <c r="I98" s="170"/>
      <c r="J98" s="170"/>
      <c r="K98" s="170"/>
      <c r="L98" s="170"/>
      <c r="M98" s="170"/>
      <c r="N98" s="170"/>
      <c r="O98" s="172">
        <f t="shared" si="15"/>
        <v>315000</v>
      </c>
      <c r="P98" s="173">
        <f t="shared" si="16"/>
        <v>9.7011087766066674E-4</v>
      </c>
      <c r="Q98" s="161"/>
    </row>
    <row r="99" spans="2:18" x14ac:dyDescent="0.25">
      <c r="B99" s="221" t="s">
        <v>52</v>
      </c>
      <c r="C99" s="170">
        <v>7110</v>
      </c>
      <c r="D99" s="170">
        <v>0</v>
      </c>
      <c r="E99" s="170">
        <v>1858230</v>
      </c>
      <c r="F99" s="170">
        <v>7110</v>
      </c>
      <c r="G99" s="170">
        <v>423450</v>
      </c>
      <c r="H99" s="170">
        <v>0</v>
      </c>
      <c r="I99" s="170"/>
      <c r="J99" s="170"/>
      <c r="K99" s="170"/>
      <c r="L99" s="170"/>
      <c r="M99" s="170"/>
      <c r="N99" s="170"/>
      <c r="O99" s="172">
        <f t="shared" si="15"/>
        <v>2295900</v>
      </c>
      <c r="P99" s="173">
        <f t="shared" si="16"/>
        <v>7.0707224254638879E-3</v>
      </c>
      <c r="Q99" s="161"/>
    </row>
    <row r="100" spans="2:18" x14ac:dyDescent="0.25">
      <c r="B100" s="221" t="s">
        <v>189</v>
      </c>
      <c r="C100" s="170">
        <v>0</v>
      </c>
      <c r="D100" s="170">
        <v>94462.200000000012</v>
      </c>
      <c r="E100" s="170">
        <v>0</v>
      </c>
      <c r="F100" s="170">
        <v>220069.80000000002</v>
      </c>
      <c r="G100" s="170">
        <v>0</v>
      </c>
      <c r="H100" s="170">
        <v>0</v>
      </c>
      <c r="I100" s="170"/>
      <c r="J100" s="170"/>
      <c r="K100" s="170"/>
      <c r="L100" s="170"/>
      <c r="M100" s="170"/>
      <c r="N100" s="170"/>
      <c r="O100" s="172">
        <f t="shared" si="15"/>
        <v>314532</v>
      </c>
      <c r="P100" s="173">
        <f t="shared" si="16"/>
        <v>9.6866957007099943E-4</v>
      </c>
      <c r="Q100" s="161"/>
    </row>
    <row r="101" spans="2:18" x14ac:dyDescent="0.25">
      <c r="B101" s="221" t="s">
        <v>190</v>
      </c>
      <c r="C101" s="170">
        <v>0</v>
      </c>
      <c r="D101" s="170">
        <v>0</v>
      </c>
      <c r="E101" s="170">
        <v>0</v>
      </c>
      <c r="F101" s="170">
        <v>0</v>
      </c>
      <c r="G101" s="170">
        <v>0</v>
      </c>
      <c r="H101" s="170">
        <v>0</v>
      </c>
      <c r="I101" s="170"/>
      <c r="J101" s="170"/>
      <c r="K101" s="170"/>
      <c r="L101" s="170"/>
      <c r="M101" s="170"/>
      <c r="N101" s="170"/>
      <c r="O101" s="172">
        <f t="shared" si="15"/>
        <v>0</v>
      </c>
      <c r="P101" s="173">
        <f t="shared" si="16"/>
        <v>0</v>
      </c>
      <c r="Q101" s="161"/>
    </row>
    <row r="102" spans="2:18" x14ac:dyDescent="0.25">
      <c r="B102" s="221" t="s">
        <v>6</v>
      </c>
      <c r="C102" s="170">
        <v>663428.69999999995</v>
      </c>
      <c r="D102" s="170">
        <v>344862</v>
      </c>
      <c r="E102" s="170">
        <v>0</v>
      </c>
      <c r="F102" s="170">
        <v>270000</v>
      </c>
      <c r="G102" s="170">
        <v>0</v>
      </c>
      <c r="H102" s="170">
        <v>81000</v>
      </c>
      <c r="I102" s="170"/>
      <c r="J102" s="170"/>
      <c r="K102" s="170"/>
      <c r="L102" s="170"/>
      <c r="M102" s="170"/>
      <c r="N102" s="170"/>
      <c r="O102" s="172">
        <f t="shared" si="15"/>
        <v>1359290.7</v>
      </c>
      <c r="P102" s="173">
        <f t="shared" si="16"/>
        <v>4.1862307745174033E-3</v>
      </c>
      <c r="Q102" s="161"/>
    </row>
    <row r="103" spans="2:18" x14ac:dyDescent="0.25">
      <c r="B103" s="221" t="s">
        <v>191</v>
      </c>
      <c r="C103" s="170">
        <v>170082.9</v>
      </c>
      <c r="D103" s="170">
        <v>170082.9</v>
      </c>
      <c r="E103" s="170">
        <v>170082.9</v>
      </c>
      <c r="F103" s="170">
        <v>170082.9</v>
      </c>
      <c r="G103" s="170">
        <v>170082.9</v>
      </c>
      <c r="H103" s="170">
        <v>347555.7</v>
      </c>
      <c r="I103" s="170"/>
      <c r="J103" s="170"/>
      <c r="K103" s="170"/>
      <c r="L103" s="170"/>
      <c r="M103" s="170"/>
      <c r="N103" s="170"/>
      <c r="O103" s="172">
        <f t="shared" si="15"/>
        <v>1197970.2</v>
      </c>
      <c r="P103" s="173">
        <f t="shared" si="16"/>
        <v>3.6894092766137283E-3</v>
      </c>
      <c r="Q103" s="161"/>
    </row>
    <row r="104" spans="2:18" x14ac:dyDescent="0.25">
      <c r="B104" s="221" t="s">
        <v>272</v>
      </c>
      <c r="C104" s="170">
        <v>0</v>
      </c>
      <c r="D104" s="170">
        <v>8330131</v>
      </c>
      <c r="E104" s="170">
        <v>596131</v>
      </c>
      <c r="F104" s="170">
        <v>3934</v>
      </c>
      <c r="G104" s="170">
        <v>155491</v>
      </c>
      <c r="H104" s="170">
        <v>301994</v>
      </c>
      <c r="I104" s="170"/>
      <c r="J104" s="170"/>
      <c r="K104" s="170"/>
      <c r="L104" s="170"/>
      <c r="M104" s="170"/>
      <c r="N104" s="170"/>
      <c r="O104" s="172">
        <f t="shared" si="15"/>
        <v>9387681</v>
      </c>
      <c r="P104" s="173">
        <f t="shared" si="16"/>
        <v>2.891140144161386E-2</v>
      </c>
      <c r="Q104" s="161"/>
    </row>
    <row r="105" spans="2:18" x14ac:dyDescent="0.25">
      <c r="B105" s="221" t="s">
        <v>192</v>
      </c>
      <c r="C105" s="170">
        <v>0</v>
      </c>
      <c r="D105" s="170">
        <v>639063</v>
      </c>
      <c r="E105" s="170">
        <v>185987.7</v>
      </c>
      <c r="F105" s="170">
        <v>89366.400000000009</v>
      </c>
      <c r="G105" s="170">
        <v>42291</v>
      </c>
      <c r="H105" s="170">
        <v>719833.5</v>
      </c>
      <c r="I105" s="170"/>
      <c r="J105" s="170"/>
      <c r="K105" s="170"/>
      <c r="L105" s="170"/>
      <c r="M105" s="170"/>
      <c r="N105" s="170"/>
      <c r="O105" s="172">
        <f t="shared" si="15"/>
        <v>1676541.6</v>
      </c>
      <c r="P105" s="173">
        <f t="shared" si="16"/>
        <v>5.1632737873352971E-3</v>
      </c>
      <c r="Q105" s="161"/>
    </row>
    <row r="106" spans="2:18" x14ac:dyDescent="0.25">
      <c r="B106" s="221" t="s">
        <v>247</v>
      </c>
      <c r="C106" s="170">
        <v>193698.9</v>
      </c>
      <c r="D106" s="170">
        <v>213848.09999999998</v>
      </c>
      <c r="E106" s="170">
        <v>277883.09999999998</v>
      </c>
      <c r="F106" s="170">
        <v>124746.29999999999</v>
      </c>
      <c r="G106" s="170">
        <v>207739.8</v>
      </c>
      <c r="H106" s="170">
        <v>0</v>
      </c>
      <c r="I106" s="170"/>
      <c r="J106" s="170"/>
      <c r="K106" s="170"/>
      <c r="L106" s="170"/>
      <c r="M106" s="170"/>
      <c r="N106" s="170"/>
      <c r="O106" s="172">
        <f t="shared" si="15"/>
        <v>1017916.2</v>
      </c>
      <c r="P106" s="173">
        <f t="shared" si="16"/>
        <v>3.1348938989428912E-3</v>
      </c>
      <c r="Q106" s="161"/>
    </row>
    <row r="107" spans="2:18" x14ac:dyDescent="0.25">
      <c r="B107" s="221" t="s">
        <v>48</v>
      </c>
      <c r="C107" s="170">
        <v>248760</v>
      </c>
      <c r="D107" s="170">
        <v>370800</v>
      </c>
      <c r="E107" s="170">
        <v>215685</v>
      </c>
      <c r="F107" s="170">
        <v>124200</v>
      </c>
      <c r="G107" s="170">
        <v>221040</v>
      </c>
      <c r="H107" s="170">
        <v>130500</v>
      </c>
      <c r="I107" s="170"/>
      <c r="J107" s="170"/>
      <c r="K107" s="170"/>
      <c r="L107" s="170"/>
      <c r="M107" s="170"/>
      <c r="N107" s="170"/>
      <c r="O107" s="172">
        <f t="shared" si="15"/>
        <v>1310985</v>
      </c>
      <c r="P107" s="173">
        <f t="shared" si="16"/>
        <v>4.0374628855554574E-3</v>
      </c>
      <c r="Q107" s="161"/>
    </row>
    <row r="108" spans="2:18" x14ac:dyDescent="0.25">
      <c r="B108" s="221" t="s">
        <v>49</v>
      </c>
      <c r="C108" s="170">
        <v>3781.8</v>
      </c>
      <c r="D108" s="170">
        <v>18181.800000000003</v>
      </c>
      <c r="E108" s="170">
        <v>3781.8</v>
      </c>
      <c r="F108" s="170">
        <v>21554.1</v>
      </c>
      <c r="G108" s="170">
        <v>3781.8</v>
      </c>
      <c r="H108" s="170">
        <v>11344.5</v>
      </c>
      <c r="I108" s="170"/>
      <c r="J108" s="170"/>
      <c r="K108" s="170"/>
      <c r="L108" s="170"/>
      <c r="M108" s="170"/>
      <c r="N108" s="170"/>
      <c r="O108" s="172">
        <f t="shared" si="15"/>
        <v>62425.8</v>
      </c>
      <c r="P108" s="173">
        <f t="shared" si="16"/>
        <v>1.9225380198942621E-4</v>
      </c>
      <c r="Q108" s="161"/>
    </row>
    <row r="109" spans="2:18" x14ac:dyDescent="0.25">
      <c r="B109" s="221" t="s">
        <v>193</v>
      </c>
      <c r="C109" s="170">
        <v>223529</v>
      </c>
      <c r="D109" s="170">
        <v>1530000</v>
      </c>
      <c r="E109" s="170">
        <v>361102</v>
      </c>
      <c r="F109" s="170">
        <v>351136</v>
      </c>
      <c r="G109" s="170">
        <v>404481</v>
      </c>
      <c r="H109" s="170">
        <v>1502510</v>
      </c>
      <c r="I109" s="170"/>
      <c r="J109" s="170"/>
      <c r="K109" s="170"/>
      <c r="L109" s="170"/>
      <c r="M109" s="170"/>
      <c r="N109" s="170"/>
      <c r="O109" s="172">
        <f t="shared" si="15"/>
        <v>4372758</v>
      </c>
      <c r="P109" s="173">
        <f t="shared" si="16"/>
        <v>1.3466857464056197E-2</v>
      </c>
      <c r="Q109" s="161"/>
    </row>
    <row r="110" spans="2:18" x14ac:dyDescent="0.25">
      <c r="B110" s="195" t="s">
        <v>287</v>
      </c>
      <c r="C110" s="57">
        <f>SUM(C81:C109)</f>
        <v>18258140</v>
      </c>
      <c r="D110" s="57">
        <f t="shared" ref="D110:O110" si="17">SUM(D81:D109)</f>
        <v>31902568.240000002</v>
      </c>
      <c r="E110" s="57">
        <f t="shared" si="17"/>
        <v>17921750.140000001</v>
      </c>
      <c r="F110" s="57">
        <f t="shared" si="17"/>
        <v>21829756.370000001</v>
      </c>
      <c r="G110" s="57">
        <f t="shared" si="17"/>
        <v>22300143.474560004</v>
      </c>
      <c r="H110" s="57">
        <f>SUM(H81:H109)</f>
        <v>20822771.78816</v>
      </c>
      <c r="I110" s="170">
        <f t="shared" si="17"/>
        <v>0</v>
      </c>
      <c r="J110" s="170">
        <f t="shared" si="17"/>
        <v>0</v>
      </c>
      <c r="K110" s="170">
        <f t="shared" si="17"/>
        <v>0</v>
      </c>
      <c r="L110" s="170">
        <f t="shared" si="17"/>
        <v>0</v>
      </c>
      <c r="M110" s="170">
        <f t="shared" si="17"/>
        <v>0</v>
      </c>
      <c r="N110" s="170">
        <f t="shared" si="17"/>
        <v>0</v>
      </c>
      <c r="O110" s="172">
        <f t="shared" si="17"/>
        <v>133035130.01271997</v>
      </c>
      <c r="P110" s="173">
        <f t="shared" si="16"/>
        <v>0.40971056106774817</v>
      </c>
      <c r="Q110" s="161"/>
    </row>
    <row r="111" spans="2:18" x14ac:dyDescent="0.25">
      <c r="B111" s="195" t="s">
        <v>281</v>
      </c>
      <c r="C111" s="57">
        <v>0</v>
      </c>
      <c r="D111" s="57">
        <v>2760000</v>
      </c>
      <c r="E111" s="57">
        <v>2880000</v>
      </c>
      <c r="F111" s="57">
        <v>4500000</v>
      </c>
      <c r="G111" s="57">
        <v>3120000</v>
      </c>
      <c r="H111" s="57">
        <v>3240000</v>
      </c>
      <c r="I111" s="57"/>
      <c r="J111" s="57"/>
      <c r="K111" s="57"/>
      <c r="L111" s="57"/>
      <c r="M111" s="57"/>
      <c r="N111" s="57"/>
      <c r="O111" s="131">
        <f t="shared" si="15"/>
        <v>16500000</v>
      </c>
      <c r="P111" s="168">
        <f t="shared" si="16"/>
        <v>5.0815331686987306E-2</v>
      </c>
      <c r="Q111" s="161"/>
    </row>
    <row r="112" spans="2:18" x14ac:dyDescent="0.25">
      <c r="B112" s="195" t="s">
        <v>282</v>
      </c>
      <c r="C112" s="57">
        <v>103616</v>
      </c>
      <c r="D112" s="57">
        <v>10763677</v>
      </c>
      <c r="E112" s="57">
        <v>10307300</v>
      </c>
      <c r="F112" s="57">
        <v>11088200</v>
      </c>
      <c r="G112" s="57">
        <v>11685600</v>
      </c>
      <c r="H112" s="57">
        <v>11865000</v>
      </c>
      <c r="I112" s="57"/>
      <c r="J112" s="57"/>
      <c r="K112" s="57"/>
      <c r="L112" s="57"/>
      <c r="M112" s="57"/>
      <c r="N112" s="57"/>
      <c r="O112" s="131">
        <f t="shared" si="15"/>
        <v>55813393</v>
      </c>
      <c r="P112" s="168">
        <f t="shared" si="16"/>
        <v>0.17188945926491972</v>
      </c>
      <c r="Q112" s="161"/>
      <c r="R112" s="217"/>
    </row>
    <row r="113" spans="2:19" x14ac:dyDescent="0.25">
      <c r="B113" s="195" t="s">
        <v>283</v>
      </c>
      <c r="C113" s="57"/>
      <c r="D113" s="57"/>
      <c r="E113" s="57"/>
      <c r="F113" s="57">
        <v>2618300</v>
      </c>
      <c r="G113" s="57">
        <v>0</v>
      </c>
      <c r="H113" s="57">
        <v>0</v>
      </c>
      <c r="I113" s="57"/>
      <c r="J113" s="57"/>
      <c r="K113" s="57"/>
      <c r="L113" s="57"/>
      <c r="M113" s="57"/>
      <c r="N113" s="57"/>
      <c r="O113" s="131">
        <f t="shared" si="15"/>
        <v>2618300</v>
      </c>
      <c r="P113" s="168">
        <f t="shared" si="16"/>
        <v>8.0636232094569004E-3</v>
      </c>
      <c r="Q113" s="161"/>
      <c r="S113" s="57"/>
    </row>
    <row r="114" spans="2:19" x14ac:dyDescent="0.25">
      <c r="B114" s="195" t="s">
        <v>285</v>
      </c>
      <c r="C114" s="57"/>
      <c r="D114" s="57"/>
      <c r="E114" s="57"/>
      <c r="F114" s="57">
        <v>47112772</v>
      </c>
      <c r="G114" s="57">
        <v>0</v>
      </c>
      <c r="H114" s="57">
        <v>0</v>
      </c>
      <c r="I114" s="57"/>
      <c r="J114" s="57"/>
      <c r="K114" s="57"/>
      <c r="L114" s="57"/>
      <c r="M114" s="57"/>
      <c r="N114" s="57"/>
      <c r="O114" s="131">
        <f t="shared" si="15"/>
        <v>47112772</v>
      </c>
      <c r="P114" s="168">
        <f t="shared" si="16"/>
        <v>0.14509400823475202</v>
      </c>
      <c r="Q114" s="161"/>
      <c r="S114" s="57"/>
    </row>
    <row r="115" spans="2:19" x14ac:dyDescent="0.25">
      <c r="B115" s="195" t="s">
        <v>294</v>
      </c>
      <c r="C115" s="57">
        <v>0</v>
      </c>
      <c r="D115" s="57">
        <v>400000</v>
      </c>
      <c r="E115" s="57">
        <v>0</v>
      </c>
      <c r="F115" s="57">
        <v>900000</v>
      </c>
      <c r="G115" s="57">
        <v>400000</v>
      </c>
      <c r="H115" s="57">
        <v>400000</v>
      </c>
      <c r="I115" s="57"/>
      <c r="J115" s="57"/>
      <c r="K115" s="57"/>
      <c r="L115" s="57"/>
      <c r="M115" s="57"/>
      <c r="N115" s="57"/>
      <c r="O115" s="131">
        <f t="shared" si="15"/>
        <v>2100000</v>
      </c>
      <c r="P115" s="168">
        <f t="shared" si="16"/>
        <v>6.4674058510711119E-3</v>
      </c>
      <c r="Q115" s="161"/>
    </row>
    <row r="116" spans="2:19" x14ac:dyDescent="0.25">
      <c r="B116" s="195" t="s">
        <v>70</v>
      </c>
      <c r="C116" s="57">
        <v>0</v>
      </c>
      <c r="D116" s="57">
        <v>0</v>
      </c>
      <c r="E116" s="57">
        <v>0</v>
      </c>
      <c r="F116" s="57">
        <v>0</v>
      </c>
      <c r="G116" s="57">
        <v>0</v>
      </c>
      <c r="H116" s="57">
        <v>186390</v>
      </c>
      <c r="I116" s="57"/>
      <c r="J116" s="57"/>
      <c r="K116" s="57"/>
      <c r="L116" s="57"/>
      <c r="M116" s="57"/>
      <c r="N116" s="57"/>
      <c r="O116" s="131">
        <f t="shared" si="15"/>
        <v>186390</v>
      </c>
      <c r="P116" s="168">
        <f t="shared" si="16"/>
        <v>5.7402846503864027E-4</v>
      </c>
      <c r="Q116" s="161"/>
    </row>
    <row r="117" spans="2:19" x14ac:dyDescent="0.25">
      <c r="B117" s="195" t="s">
        <v>284</v>
      </c>
      <c r="C117" s="57">
        <f>+'EJECUCION SOC ENE 24'!B56</f>
        <v>91429</v>
      </c>
      <c r="D117" s="57">
        <f>+'EJECUCION SOC FEB 24'!B59</f>
        <v>6104932</v>
      </c>
      <c r="E117" s="57">
        <f>+'EJECUCION SOCIAL MARZO 24'!B60</f>
        <v>17519158</v>
      </c>
      <c r="F117" s="57">
        <f>+'EJECUCION SOCIAL ABRIL 24'!B62</f>
        <v>15191596</v>
      </c>
      <c r="G117" s="57">
        <f>+'EJECUCION SOCIAL MAY 24'!B62</f>
        <v>15398844</v>
      </c>
      <c r="H117" s="57">
        <f>+'EJECUCION SOCIAL JUN 24'!B62</f>
        <v>13033208</v>
      </c>
      <c r="I117" s="57"/>
      <c r="J117" s="57"/>
      <c r="K117" s="57"/>
      <c r="L117" s="57"/>
      <c r="M117" s="57"/>
      <c r="N117" s="57"/>
      <c r="O117" s="131">
        <f t="shared" si="15"/>
        <v>67339167</v>
      </c>
      <c r="P117" s="168">
        <f>+O117/$O$118</f>
        <v>0.20738558222002607</v>
      </c>
      <c r="Q117" s="161"/>
    </row>
    <row r="118" spans="2:19" x14ac:dyDescent="0.25">
      <c r="B118" s="222" t="s">
        <v>230</v>
      </c>
      <c r="C118" s="155">
        <f>+C110+C111+C112+C113+C114+C115+C116+C117</f>
        <v>18453185</v>
      </c>
      <c r="D118" s="155">
        <f t="shared" ref="D118:G118" si="18">+D110+D111+D112+D113+D114+D115+D116+D117</f>
        <v>51931177.240000002</v>
      </c>
      <c r="E118" s="155">
        <f t="shared" si="18"/>
        <v>48628208.140000001</v>
      </c>
      <c r="F118" s="155">
        <f t="shared" si="18"/>
        <v>103240624.37</v>
      </c>
      <c r="G118" s="155">
        <f t="shared" si="18"/>
        <v>52904587.474560007</v>
      </c>
      <c r="H118" s="155">
        <f t="shared" ref="H118:N118" si="19">SUM(H81:H116)</f>
        <v>57336933.57632</v>
      </c>
      <c r="I118" s="155">
        <f t="shared" si="19"/>
        <v>0</v>
      </c>
      <c r="J118" s="155">
        <f t="shared" si="19"/>
        <v>0</v>
      </c>
      <c r="K118" s="155">
        <f t="shared" si="19"/>
        <v>0</v>
      </c>
      <c r="L118" s="155">
        <f t="shared" si="19"/>
        <v>0</v>
      </c>
      <c r="M118" s="155">
        <f t="shared" si="19"/>
        <v>0</v>
      </c>
      <c r="N118" s="155">
        <f t="shared" si="19"/>
        <v>0</v>
      </c>
      <c r="O118" s="155">
        <f>SUM(O110:O117)</f>
        <v>324705152.01271999</v>
      </c>
      <c r="P118" s="156">
        <v>0.7</v>
      </c>
      <c r="Q118" s="161"/>
    </row>
    <row r="119" spans="2:19" x14ac:dyDescent="0.25">
      <c r="B119" s="197" t="s">
        <v>290</v>
      </c>
      <c r="C119" s="155"/>
      <c r="D119" s="155"/>
      <c r="E119" s="155"/>
      <c r="F119" s="155"/>
      <c r="G119" s="155">
        <v>40308892</v>
      </c>
      <c r="H119" s="155"/>
      <c r="I119" s="155"/>
      <c r="J119" s="155"/>
      <c r="K119" s="155"/>
      <c r="L119" s="155"/>
      <c r="M119" s="155"/>
      <c r="N119" s="155"/>
      <c r="O119" s="174">
        <v>40308892</v>
      </c>
      <c r="P119" s="156"/>
      <c r="Q119" s="161"/>
    </row>
    <row r="120" spans="2:19" x14ac:dyDescent="0.25">
      <c r="B120" s="183" t="s">
        <v>289</v>
      </c>
      <c r="C120" s="175"/>
      <c r="D120" s="175"/>
      <c r="E120" s="175"/>
      <c r="F120" s="175"/>
      <c r="G120" s="175">
        <f>+G118-G119</f>
        <v>12595695.474560007</v>
      </c>
      <c r="H120" s="175"/>
      <c r="I120" s="175"/>
      <c r="J120" s="175"/>
      <c r="K120" s="175"/>
      <c r="L120" s="175"/>
      <c r="M120" s="175"/>
      <c r="N120" s="175"/>
      <c r="O120" s="176">
        <f>+O118-O119</f>
        <v>284396260.01271999</v>
      </c>
      <c r="P120" s="156"/>
      <c r="Q120" s="161"/>
    </row>
    <row r="121" spans="2:19" x14ac:dyDescent="0.25">
      <c r="B121" s="185"/>
      <c r="C121" s="118"/>
      <c r="D121" s="118"/>
      <c r="E121" s="118"/>
      <c r="F121" s="118"/>
      <c r="G121" s="118"/>
      <c r="H121" s="118"/>
      <c r="I121" s="118"/>
      <c r="J121" s="118"/>
      <c r="K121" s="118"/>
      <c r="L121" s="118"/>
      <c r="M121" s="118"/>
      <c r="N121" s="118"/>
      <c r="O121" s="128"/>
      <c r="P121" s="177"/>
      <c r="Q121" s="178"/>
    </row>
    <row r="122" spans="2:19" x14ac:dyDescent="0.25">
      <c r="B122" s="213" t="s">
        <v>235</v>
      </c>
      <c r="C122" s="58"/>
      <c r="D122" s="58"/>
      <c r="E122" s="58"/>
      <c r="F122" s="58"/>
      <c r="G122" s="58"/>
      <c r="H122" s="58"/>
      <c r="I122" s="58"/>
      <c r="J122" s="58"/>
      <c r="K122" s="58"/>
      <c r="L122" s="58"/>
      <c r="M122" s="58"/>
      <c r="N122" s="58"/>
      <c r="O122" s="59"/>
      <c r="P122" s="59"/>
      <c r="Q122" s="160">
        <v>9</v>
      </c>
    </row>
    <row r="123" spans="2:19" x14ac:dyDescent="0.25">
      <c r="B123" s="180" t="s">
        <v>237</v>
      </c>
      <c r="C123" s="131"/>
      <c r="D123" s="131"/>
      <c r="E123" s="131"/>
      <c r="F123" s="131"/>
      <c r="G123" s="131"/>
      <c r="H123" s="131"/>
      <c r="I123" s="131"/>
      <c r="J123" s="131"/>
      <c r="K123" s="131"/>
      <c r="L123" s="131"/>
      <c r="M123" s="131"/>
      <c r="N123" s="131"/>
      <c r="O123" s="130"/>
      <c r="P123" s="128"/>
      <c r="Q123" s="160"/>
    </row>
    <row r="124" spans="2:19" x14ac:dyDescent="0.25">
      <c r="B124" s="195" t="s">
        <v>69</v>
      </c>
      <c r="C124" s="57">
        <f>+'EJECUCION SOC ENE 24'!U11+'EJECUCION SOC ENE 24'!W11</f>
        <v>2434038</v>
      </c>
      <c r="D124" s="57">
        <f>+'EJECUCION SOC FEB 24'!U12+'EJECUCION SOC FEB 24'!W12</f>
        <v>3390495.66</v>
      </c>
      <c r="E124" s="57">
        <f>+'EJECUCION SOCIAL MARZO 24'!U12+'EJECUCION SOCIAL MARZO 24'!W12</f>
        <v>3192495.66</v>
      </c>
      <c r="F124" s="57">
        <f>+'EJECUCION SOCIAL ABRIL 24'!U12+'EJECUCION SOCIAL ABRIL 24'!W12</f>
        <v>3896148.3900000006</v>
      </c>
      <c r="G124" s="57">
        <v>4399481</v>
      </c>
      <c r="H124" s="57">
        <f>+'EJECUCION SOCIAL JUN 24'!U12+'EJECUCION SOCIAL JUN 24'!W12</f>
        <v>3378612.4825599999</v>
      </c>
      <c r="I124" s="57"/>
      <c r="J124" s="57"/>
      <c r="K124" s="57"/>
      <c r="L124" s="57"/>
      <c r="M124" s="57"/>
      <c r="N124" s="57"/>
      <c r="O124" s="131">
        <f>SUM(C124:N124)</f>
        <v>20691271.192560002</v>
      </c>
      <c r="P124" s="128"/>
      <c r="Q124" s="160"/>
    </row>
    <row r="125" spans="2:19" x14ac:dyDescent="0.25">
      <c r="B125" s="195" t="s">
        <v>236</v>
      </c>
      <c r="C125" s="57">
        <v>43740109</v>
      </c>
      <c r="D125" s="57">
        <v>5500000</v>
      </c>
      <c r="E125" s="57">
        <v>2258000</v>
      </c>
      <c r="F125" s="57">
        <f>+'ER AJUSTADO ENE-JUL CC 2024'!E128</f>
        <v>3000000</v>
      </c>
      <c r="G125" s="57">
        <v>3000000</v>
      </c>
      <c r="H125" s="57">
        <v>8000000</v>
      </c>
      <c r="I125" s="57"/>
      <c r="J125" s="57"/>
      <c r="K125" s="57"/>
      <c r="L125" s="57"/>
      <c r="M125" s="57"/>
      <c r="N125" s="57"/>
      <c r="O125" s="131">
        <f>SUM(C125:N125)</f>
        <v>65498109</v>
      </c>
      <c r="P125" s="128"/>
      <c r="Q125" s="160"/>
    </row>
    <row r="126" spans="2:19" x14ac:dyDescent="0.25">
      <c r="B126" s="214" t="s">
        <v>238</v>
      </c>
      <c r="C126" s="60">
        <f t="shared" ref="C126:O126" si="20">SUM(C124:C125)</f>
        <v>46174147</v>
      </c>
      <c r="D126" s="60">
        <f t="shared" si="20"/>
        <v>8890495.6600000001</v>
      </c>
      <c r="E126" s="60">
        <f t="shared" si="20"/>
        <v>5450495.6600000001</v>
      </c>
      <c r="F126" s="60">
        <f t="shared" si="20"/>
        <v>6896148.3900000006</v>
      </c>
      <c r="G126" s="60">
        <f t="shared" si="20"/>
        <v>7399481</v>
      </c>
      <c r="H126" s="60">
        <f t="shared" si="20"/>
        <v>11378612.482559999</v>
      </c>
      <c r="I126" s="60">
        <f t="shared" si="20"/>
        <v>0</v>
      </c>
      <c r="J126" s="60">
        <f t="shared" si="20"/>
        <v>0</v>
      </c>
      <c r="K126" s="60">
        <f t="shared" si="20"/>
        <v>0</v>
      </c>
      <c r="L126" s="60">
        <f t="shared" si="20"/>
        <v>0</v>
      </c>
      <c r="M126" s="60">
        <f t="shared" si="20"/>
        <v>0</v>
      </c>
      <c r="N126" s="60">
        <f t="shared" si="20"/>
        <v>0</v>
      </c>
      <c r="O126" s="60">
        <f t="shared" si="20"/>
        <v>86189380.192560002</v>
      </c>
      <c r="P126" s="129">
        <f>+O126/O135</f>
        <v>0.20229169220794024</v>
      </c>
      <c r="Q126" s="160"/>
    </row>
    <row r="127" spans="2:19" x14ac:dyDescent="0.25">
      <c r="B127" s="215" t="s">
        <v>239</v>
      </c>
      <c r="C127" s="119"/>
      <c r="D127" s="119"/>
      <c r="E127" s="119"/>
      <c r="F127" s="119"/>
      <c r="G127" s="119"/>
      <c r="H127" s="119"/>
      <c r="I127" s="119"/>
      <c r="J127" s="119"/>
      <c r="K127" s="119"/>
      <c r="L127" s="119"/>
      <c r="M127" s="119"/>
      <c r="N127" s="119"/>
      <c r="O127" s="119"/>
      <c r="P127" s="128"/>
      <c r="Q127" s="160"/>
    </row>
    <row r="128" spans="2:19" x14ac:dyDescent="0.25">
      <c r="B128" s="195" t="s">
        <v>69</v>
      </c>
      <c r="C128" s="57">
        <f>+'EJECUCION SOC ENE 24'!Z11</f>
        <v>984414</v>
      </c>
      <c r="D128" s="57">
        <f>+'EJECUCION SOC FEB 24'!Z12</f>
        <v>1669856</v>
      </c>
      <c r="E128" s="57">
        <f>+'EJECUCION SOCIAL MARZO 24'!Z12</f>
        <v>1306656</v>
      </c>
      <c r="F128" s="57">
        <f>+'EJECUCION SOCIAL ABRIL 24'!Z12</f>
        <v>1275598.3999999999</v>
      </c>
      <c r="G128" s="57">
        <f>+'EJECUCION SOCIAL MAY 24'!Z12</f>
        <v>1820968.7288000002</v>
      </c>
      <c r="H128" s="57">
        <f>+'EJECUCION SOCIAL JUN 24'!Z12</f>
        <v>1394807.1568</v>
      </c>
      <c r="I128" s="57"/>
      <c r="J128" s="57"/>
      <c r="K128" s="57"/>
      <c r="L128" s="57"/>
      <c r="M128" s="57"/>
      <c r="N128" s="57"/>
      <c r="O128" s="131">
        <f>SUM(C128:N128)</f>
        <v>8452300.285600001</v>
      </c>
      <c r="P128" s="128"/>
      <c r="Q128" s="160"/>
    </row>
    <row r="129" spans="2:18" x14ac:dyDescent="0.25">
      <c r="B129" s="202" t="s">
        <v>240</v>
      </c>
      <c r="C129" s="184">
        <f t="shared" ref="C129:O129" si="21">SUM(C128:C128)</f>
        <v>984414</v>
      </c>
      <c r="D129" s="184">
        <f t="shared" si="21"/>
        <v>1669856</v>
      </c>
      <c r="E129" s="184">
        <f t="shared" si="21"/>
        <v>1306656</v>
      </c>
      <c r="F129" s="184">
        <f t="shared" si="21"/>
        <v>1275598.3999999999</v>
      </c>
      <c r="G129" s="184">
        <f t="shared" si="21"/>
        <v>1820968.7288000002</v>
      </c>
      <c r="H129" s="184">
        <f t="shared" si="21"/>
        <v>1394807.1568</v>
      </c>
      <c r="I129" s="184">
        <f t="shared" si="21"/>
        <v>0</v>
      </c>
      <c r="J129" s="184">
        <f t="shared" si="21"/>
        <v>0</v>
      </c>
      <c r="K129" s="184">
        <f t="shared" si="21"/>
        <v>0</v>
      </c>
      <c r="L129" s="184">
        <f t="shared" si="21"/>
        <v>0</v>
      </c>
      <c r="M129" s="184">
        <f t="shared" si="21"/>
        <v>0</v>
      </c>
      <c r="N129" s="184">
        <f t="shared" si="21"/>
        <v>0</v>
      </c>
      <c r="O129" s="184">
        <f t="shared" si="21"/>
        <v>8452300.285600001</v>
      </c>
      <c r="P129" s="129">
        <f>+O129/O135</f>
        <v>1.9838060373605932E-2</v>
      </c>
      <c r="Q129" s="199"/>
    </row>
    <row r="130" spans="2:18" x14ac:dyDescent="0.25">
      <c r="B130" s="185"/>
      <c r="C130" s="181"/>
      <c r="D130" s="185"/>
      <c r="E130" s="185"/>
      <c r="F130" s="185"/>
      <c r="G130" s="185"/>
      <c r="H130" s="185"/>
      <c r="I130" s="185"/>
      <c r="J130" s="185"/>
      <c r="K130" s="185"/>
      <c r="L130" s="185"/>
      <c r="M130" s="185"/>
      <c r="N130" s="185"/>
      <c r="O130" s="180"/>
      <c r="P130" s="185"/>
      <c r="Q130" s="199"/>
    </row>
    <row r="131" spans="2:18" x14ac:dyDescent="0.25">
      <c r="B131" s="187" t="s">
        <v>7</v>
      </c>
      <c r="C131" s="186"/>
      <c r="D131" s="187"/>
      <c r="E131" s="187"/>
      <c r="F131" s="187"/>
      <c r="G131" s="187"/>
      <c r="H131" s="187"/>
      <c r="I131" s="187"/>
      <c r="J131" s="187"/>
      <c r="K131" s="187"/>
      <c r="L131" s="187"/>
      <c r="M131" s="187"/>
      <c r="N131" s="187"/>
      <c r="O131" s="187"/>
      <c r="P131" s="187"/>
      <c r="Q131" s="199">
        <v>10</v>
      </c>
    </row>
    <row r="132" spans="2:18" x14ac:dyDescent="0.25">
      <c r="B132" s="200" t="s">
        <v>8</v>
      </c>
      <c r="C132" s="57">
        <v>1684495</v>
      </c>
      <c r="D132" s="57">
        <v>864889</v>
      </c>
      <c r="E132" s="57">
        <v>1530272</v>
      </c>
      <c r="F132" s="57">
        <v>360469</v>
      </c>
      <c r="G132" s="57">
        <v>887577</v>
      </c>
      <c r="H132" s="57">
        <f>+'ER AJUSTADO ENE-JUL CC 2024'!G136</f>
        <v>629919</v>
      </c>
      <c r="I132" s="57"/>
      <c r="J132" s="57"/>
      <c r="K132" s="57"/>
      <c r="L132" s="57"/>
      <c r="M132" s="57"/>
      <c r="N132" s="57"/>
      <c r="O132" s="131">
        <f>SUM(C132:N132)</f>
        <v>5957621</v>
      </c>
      <c r="P132" s="57"/>
      <c r="Q132" s="161"/>
    </row>
    <row r="133" spans="2:18" x14ac:dyDescent="0.25">
      <c r="B133" s="200" t="s">
        <v>50</v>
      </c>
      <c r="C133" s="57"/>
      <c r="D133" s="57"/>
      <c r="E133" s="57"/>
      <c r="F133" s="57"/>
      <c r="G133" s="57"/>
      <c r="H133" s="57">
        <v>6245</v>
      </c>
      <c r="I133" s="57"/>
      <c r="J133" s="57"/>
      <c r="K133" s="57"/>
      <c r="L133" s="57"/>
      <c r="M133" s="57"/>
      <c r="N133" s="57"/>
      <c r="O133" s="131">
        <f>SUM(C133:N133)</f>
        <v>6245</v>
      </c>
      <c r="P133" s="57"/>
      <c r="Q133" s="161"/>
    </row>
    <row r="134" spans="2:18" x14ac:dyDescent="0.25">
      <c r="B134" s="202" t="s">
        <v>34</v>
      </c>
      <c r="C134" s="60">
        <f t="shared" ref="C134:O134" si="22">SUM(C132:C133)</f>
        <v>1684495</v>
      </c>
      <c r="D134" s="60">
        <f t="shared" si="22"/>
        <v>864889</v>
      </c>
      <c r="E134" s="60">
        <f t="shared" si="22"/>
        <v>1530272</v>
      </c>
      <c r="F134" s="60">
        <f t="shared" si="22"/>
        <v>360469</v>
      </c>
      <c r="G134" s="60">
        <f t="shared" si="22"/>
        <v>887577</v>
      </c>
      <c r="H134" s="60">
        <f t="shared" si="22"/>
        <v>636164</v>
      </c>
      <c r="I134" s="60">
        <f t="shared" si="22"/>
        <v>0</v>
      </c>
      <c r="J134" s="60">
        <f t="shared" si="22"/>
        <v>0</v>
      </c>
      <c r="K134" s="60">
        <f t="shared" si="22"/>
        <v>0</v>
      </c>
      <c r="L134" s="60">
        <f t="shared" si="22"/>
        <v>0</v>
      </c>
      <c r="M134" s="60">
        <f t="shared" si="22"/>
        <v>0</v>
      </c>
      <c r="N134" s="60">
        <f t="shared" si="22"/>
        <v>0</v>
      </c>
      <c r="O134" s="60">
        <f t="shared" si="22"/>
        <v>5963866</v>
      </c>
      <c r="P134" s="129">
        <f>+O134/O135</f>
        <v>1.3997554484624794E-2</v>
      </c>
      <c r="Q134" s="160"/>
    </row>
    <row r="135" spans="2:18" x14ac:dyDescent="0.25">
      <c r="B135" s="216" t="s">
        <v>36</v>
      </c>
      <c r="C135" s="188">
        <f>+C79+C118+C126+C129+C134</f>
        <v>70668402.400000006</v>
      </c>
      <c r="D135" s="188">
        <f>+D79+D118+D126+D129+D134</f>
        <v>70225069.799999997</v>
      </c>
      <c r="E135" s="188">
        <f>+E79+E118+E126+E129+E134</f>
        <v>62686248</v>
      </c>
      <c r="F135" s="188">
        <f>+F79+F118+F126+F129+F134</f>
        <v>117713811.76000001</v>
      </c>
      <c r="G135" s="188">
        <f>+G79+G120+G126+G129+G134</f>
        <v>29730318.454160009</v>
      </c>
      <c r="H135" s="188">
        <f t="shared" ref="H135:N135" si="23">+H134+H129+H126+H118+H79</f>
        <v>76858370.664480001</v>
      </c>
      <c r="I135" s="188">
        <f t="shared" si="23"/>
        <v>5972196.1488000005</v>
      </c>
      <c r="J135" s="188">
        <f t="shared" si="23"/>
        <v>0</v>
      </c>
      <c r="K135" s="188">
        <f t="shared" si="23"/>
        <v>0</v>
      </c>
      <c r="L135" s="188">
        <f t="shared" si="23"/>
        <v>0</v>
      </c>
      <c r="M135" s="188">
        <f t="shared" si="23"/>
        <v>0</v>
      </c>
      <c r="N135" s="188">
        <f t="shared" si="23"/>
        <v>0</v>
      </c>
      <c r="O135" s="188">
        <f>+O79+O120+O126+O129+O134</f>
        <v>426064853.43928003</v>
      </c>
      <c r="P135" s="157"/>
      <c r="Q135" s="207"/>
      <c r="R135" s="217"/>
    </row>
    <row r="136" spans="2:18" x14ac:dyDescent="0.25">
      <c r="B136" s="202" t="s">
        <v>73</v>
      </c>
      <c r="C136" s="60">
        <f t="shared" ref="C136:O136" si="24">+C40-C135</f>
        <v>18589802.599999994</v>
      </c>
      <c r="D136" s="60">
        <f t="shared" si="24"/>
        <v>-34662856.079999998</v>
      </c>
      <c r="E136" s="60">
        <f t="shared" si="24"/>
        <v>24446783</v>
      </c>
      <c r="F136" s="60">
        <f t="shared" si="24"/>
        <v>-1126966.7600000054</v>
      </c>
      <c r="G136" s="60">
        <f t="shared" si="24"/>
        <v>4726420.5458399914</v>
      </c>
      <c r="H136" s="60">
        <f t="shared" si="24"/>
        <v>-5317813.6644800007</v>
      </c>
      <c r="I136" s="60">
        <f t="shared" si="24"/>
        <v>61168535.851199999</v>
      </c>
      <c r="J136" s="60">
        <f t="shared" si="24"/>
        <v>0</v>
      </c>
      <c r="K136" s="60">
        <f t="shared" si="24"/>
        <v>0</v>
      </c>
      <c r="L136" s="60">
        <f t="shared" si="24"/>
        <v>0</v>
      </c>
      <c r="M136" s="60">
        <f t="shared" si="24"/>
        <v>0</v>
      </c>
      <c r="N136" s="60">
        <f t="shared" si="24"/>
        <v>0</v>
      </c>
      <c r="O136" s="60">
        <f t="shared" si="24"/>
        <v>75613469.280719995</v>
      </c>
      <c r="P136" s="60"/>
      <c r="Q136" s="160">
        <v>11</v>
      </c>
    </row>
    <row r="137" spans="2:18" x14ac:dyDescent="0.25">
      <c r="F137" s="162"/>
      <c r="O137" s="217"/>
    </row>
    <row r="138" spans="2:18" x14ac:dyDescent="0.25">
      <c r="O138" s="223"/>
    </row>
  </sheetData>
  <mergeCells count="4">
    <mergeCell ref="B1:Q1"/>
    <mergeCell ref="B2:Q2"/>
    <mergeCell ref="B3:Q3"/>
    <mergeCell ref="B4:Q4"/>
  </mergeCells>
  <pageMargins left="0.7" right="0.7" top="0.75" bottom="0.75" header="0.3" footer="0.3"/>
  <ignoredErrors>
    <ignoredError sqref="O110" formula="1"/>
  </ignoredError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D65"/>
  <sheetViews>
    <sheetView topLeftCell="A16" workbookViewId="0">
      <selection activeCell="B8" sqref="B8:B10"/>
    </sheetView>
  </sheetViews>
  <sheetFormatPr baseColWidth="10" defaultRowHeight="15" x14ac:dyDescent="0.25"/>
  <cols>
    <col min="1" max="1" width="40.42578125" customWidth="1"/>
    <col min="2" max="2" width="16.5703125" customWidth="1"/>
    <col min="3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3" width="9.85546875" customWidth="1"/>
    <col min="14" max="14" width="10.8554687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1" max="21" width="11.5703125" customWidth="1"/>
    <col min="22" max="22" width="13.7109375" customWidth="1"/>
    <col min="23" max="24" width="11.42578125" customWidth="1"/>
    <col min="25" max="25" width="12.85546875" customWidth="1"/>
    <col min="26" max="26" width="12.28515625" customWidth="1"/>
    <col min="27" max="27" width="15.140625" customWidth="1"/>
    <col min="28" max="29" width="11.42578125" customWidth="1"/>
  </cols>
  <sheetData>
    <row r="1" spans="1:30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0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0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33" t="s">
        <v>96</v>
      </c>
      <c r="P3" s="334"/>
      <c r="Q3" s="72" t="s">
        <v>97</v>
      </c>
      <c r="R3" s="72"/>
      <c r="S3" s="69" t="s">
        <v>224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100</v>
      </c>
      <c r="AB3" s="97"/>
      <c r="AC3" s="97"/>
    </row>
    <row r="4" spans="1:30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300</v>
      </c>
      <c r="O4" s="231" t="s">
        <v>162</v>
      </c>
      <c r="P4" s="231" t="s">
        <v>176</v>
      </c>
      <c r="Q4" s="232" t="s">
        <v>163</v>
      </c>
      <c r="R4" s="232" t="s">
        <v>176</v>
      </c>
      <c r="S4" s="71" t="s">
        <v>171</v>
      </c>
      <c r="T4" s="237" t="s">
        <v>164</v>
      </c>
      <c r="U4" s="237" t="s">
        <v>176</v>
      </c>
      <c r="V4" s="158" t="s">
        <v>165</v>
      </c>
      <c r="W4" s="158" t="s">
        <v>176</v>
      </c>
      <c r="X4" s="71" t="s">
        <v>296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0" x14ac:dyDescent="0.25">
      <c r="A5" s="46" t="s">
        <v>67</v>
      </c>
      <c r="B5" s="90">
        <f>+' NOMINAS ENE-DIC'!I6+' NOMINAS ENE-DIC'!I15</f>
        <v>3555560</v>
      </c>
      <c r="C5" s="91">
        <f>+'%'!B4</f>
        <v>0.35</v>
      </c>
      <c r="D5" s="93">
        <f t="shared" ref="D5:D10" si="0">+B5*C5</f>
        <v>1244446</v>
      </c>
      <c r="E5" s="122">
        <f>+'%'!C4</f>
        <v>0</v>
      </c>
      <c r="F5" s="123">
        <f t="shared" ref="F5:F10" si="1">+B5*E5</f>
        <v>0</v>
      </c>
      <c r="G5" s="122">
        <f>+'%'!D4</f>
        <v>0</v>
      </c>
      <c r="H5" s="123">
        <f t="shared" ref="H5:H10" si="2">+B5*G5</f>
        <v>0</v>
      </c>
      <c r="I5" s="122">
        <f>+'%'!E4</f>
        <v>0</v>
      </c>
      <c r="J5" s="123">
        <f t="shared" ref="J5:J10" si="3">+B5*I5</f>
        <v>0</v>
      </c>
      <c r="K5" s="93">
        <f t="shared" ref="K5:K10" si="4">+F5+H5+J5</f>
        <v>0</v>
      </c>
      <c r="L5" s="86">
        <f>+'%'!F4</f>
        <v>0.01</v>
      </c>
      <c r="M5" s="87">
        <f t="shared" ref="M5:M10" si="5">+L5*B5</f>
        <v>35555.599999999999</v>
      </c>
      <c r="N5" s="93">
        <f>+M5</f>
        <v>35555.599999999999</v>
      </c>
      <c r="O5" s="233">
        <f>+'%'!G4</f>
        <v>0.02</v>
      </c>
      <c r="P5" s="234">
        <f t="shared" ref="P5:P10" si="6">+O5*B5</f>
        <v>71111.199999999997</v>
      </c>
      <c r="Q5" s="233">
        <f>+'%'!H4</f>
        <v>0.05</v>
      </c>
      <c r="R5" s="234">
        <f t="shared" ref="R5:R10" si="7">+Q5*B5</f>
        <v>177778</v>
      </c>
      <c r="S5" s="93">
        <f>+P5+R5</f>
        <v>248889.2</v>
      </c>
      <c r="T5" s="238">
        <f>+'%'!I4</f>
        <v>0.2</v>
      </c>
      <c r="U5" s="239">
        <f t="shared" ref="U5:U10" si="8">+T5*B5</f>
        <v>711112</v>
      </c>
      <c r="V5" s="238">
        <f>+'%'!J4</f>
        <v>0.27</v>
      </c>
      <c r="W5" s="239">
        <f t="shared" ref="W5:W10" si="9">+V5*B5</f>
        <v>960001.20000000007</v>
      </c>
      <c r="X5" s="93">
        <f>+U5+W5</f>
        <v>1671113.2000000002</v>
      </c>
      <c r="Y5" s="88">
        <f>+'%'!K4</f>
        <v>0.1</v>
      </c>
      <c r="Z5" s="89">
        <f t="shared" ref="Z5:Z10" si="10">+Y5*B5</f>
        <v>355556</v>
      </c>
      <c r="AA5" s="93">
        <f>+Z5</f>
        <v>355556</v>
      </c>
      <c r="AB5" s="81">
        <f>+(D5+K5+N5+S5+X5+AA5)-B5</f>
        <v>0</v>
      </c>
      <c r="AC5" s="82">
        <f t="shared" ref="AC5:AC11" si="11">+C5+E5+G5+I5+L5+O5+Q5+T5+V5+Y5</f>
        <v>1</v>
      </c>
    </row>
    <row r="6" spans="1:30" x14ac:dyDescent="0.25">
      <c r="A6" s="46" t="s">
        <v>74</v>
      </c>
      <c r="B6" s="90">
        <f>+' NOMINAS ENE-DIC'!I7+' NOMINAS ENE-DIC'!I16</f>
        <v>2505296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1002118.4</v>
      </c>
      <c r="G6" s="122">
        <f>+'%'!D5</f>
        <v>0.6</v>
      </c>
      <c r="H6" s="123">
        <f t="shared" si="2"/>
        <v>1503177.5999999999</v>
      </c>
      <c r="I6" s="122">
        <f>+'%'!E5</f>
        <v>0</v>
      </c>
      <c r="J6" s="123">
        <f t="shared" si="3"/>
        <v>0</v>
      </c>
      <c r="K6" s="93">
        <f t="shared" si="4"/>
        <v>2505296</v>
      </c>
      <c r="L6" s="86">
        <f>+'%'!F5</f>
        <v>0</v>
      </c>
      <c r="M6" s="87">
        <f t="shared" si="5"/>
        <v>0</v>
      </c>
      <c r="N6" s="93">
        <f t="shared" ref="N6:N11" si="12">+M6</f>
        <v>0</v>
      </c>
      <c r="O6" s="233">
        <f>+'%'!G5</f>
        <v>0</v>
      </c>
      <c r="P6" s="234">
        <f t="shared" si="6"/>
        <v>0</v>
      </c>
      <c r="Q6" s="233">
        <f>+'%'!H5</f>
        <v>0</v>
      </c>
      <c r="R6" s="234">
        <f t="shared" si="7"/>
        <v>0</v>
      </c>
      <c r="S6" s="93">
        <f t="shared" ref="S6:S11" si="13">+P6+R6</f>
        <v>0</v>
      </c>
      <c r="T6" s="238">
        <f>+'%'!I5</f>
        <v>0</v>
      </c>
      <c r="U6" s="239">
        <f t="shared" si="8"/>
        <v>0</v>
      </c>
      <c r="V6" s="238">
        <f>+'%'!J5</f>
        <v>0</v>
      </c>
      <c r="W6" s="239">
        <f t="shared" si="9"/>
        <v>0</v>
      </c>
      <c r="X6" s="93">
        <f t="shared" ref="X6:X10" si="14">+U6+W6</f>
        <v>0</v>
      </c>
      <c r="Y6" s="88">
        <f>+'%'!K5</f>
        <v>0</v>
      </c>
      <c r="Z6" s="89">
        <f t="shared" si="10"/>
        <v>0</v>
      </c>
      <c r="AA6" s="93">
        <f t="shared" ref="AA6:AA10" si="15">+Z6</f>
        <v>0</v>
      </c>
      <c r="AB6" s="81">
        <f t="shared" ref="AB6:AB11" si="16">+(D6+K6+N6+S6+X6+AA6)-B6</f>
        <v>0</v>
      </c>
      <c r="AC6" s="82">
        <f t="shared" si="11"/>
        <v>1</v>
      </c>
    </row>
    <row r="7" spans="1:30" x14ac:dyDescent="0.25">
      <c r="A7" s="46" t="s">
        <v>109</v>
      </c>
      <c r="B7" s="90">
        <f>+' NOMINAS ENE-DIC'!I5+' NOMINAS ENE-DIC'!I14</f>
        <v>2505296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626324</v>
      </c>
      <c r="G7" s="122">
        <f>+'%'!D7</f>
        <v>0.45</v>
      </c>
      <c r="H7" s="123">
        <f t="shared" si="2"/>
        <v>1127383.2</v>
      </c>
      <c r="I7" s="122">
        <f>+'%'!E7</f>
        <v>0.2</v>
      </c>
      <c r="J7" s="123">
        <f t="shared" si="3"/>
        <v>501059.2</v>
      </c>
      <c r="K7" s="93">
        <f t="shared" si="4"/>
        <v>2254766.4</v>
      </c>
      <c r="L7" s="86">
        <f>+'%'!F7</f>
        <v>0</v>
      </c>
      <c r="M7" s="87">
        <f t="shared" si="5"/>
        <v>0</v>
      </c>
      <c r="N7" s="93">
        <f t="shared" si="12"/>
        <v>0</v>
      </c>
      <c r="O7" s="233">
        <f>+'%'!G7</f>
        <v>0</v>
      </c>
      <c r="P7" s="234">
        <f t="shared" si="6"/>
        <v>0</v>
      </c>
      <c r="Q7" s="233">
        <f>+'%'!H7</f>
        <v>0.05</v>
      </c>
      <c r="R7" s="234">
        <f t="shared" si="7"/>
        <v>125264.8</v>
      </c>
      <c r="S7" s="93">
        <f t="shared" si="13"/>
        <v>125264.8</v>
      </c>
      <c r="T7" s="238">
        <f>+'%'!I7</f>
        <v>0</v>
      </c>
      <c r="U7" s="239">
        <v>0</v>
      </c>
      <c r="V7" s="238">
        <f>+'%'!J7</f>
        <v>0.05</v>
      </c>
      <c r="W7" s="239">
        <f t="shared" si="9"/>
        <v>125264.8</v>
      </c>
      <c r="X7" s="93">
        <f t="shared" si="14"/>
        <v>125264.8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</row>
    <row r="8" spans="1:30" x14ac:dyDescent="0.25">
      <c r="A8" s="46" t="s">
        <v>184</v>
      </c>
      <c r="B8" s="90">
        <f>+' NOMINAS ENE-DIC'!D22</f>
        <v>2827000</v>
      </c>
      <c r="C8" s="91">
        <f>+'%'!B8</f>
        <v>0.2</v>
      </c>
      <c r="D8" s="93">
        <f t="shared" si="0"/>
        <v>565400</v>
      </c>
      <c r="E8" s="122">
        <f>+'%'!C8</f>
        <v>0.1</v>
      </c>
      <c r="F8" s="123">
        <f t="shared" si="1"/>
        <v>282700</v>
      </c>
      <c r="G8" s="122">
        <f>+'%'!D8</f>
        <v>0.3</v>
      </c>
      <c r="H8" s="123">
        <f t="shared" si="2"/>
        <v>848100</v>
      </c>
      <c r="I8" s="122">
        <f>+'%'!E8</f>
        <v>0.1</v>
      </c>
      <c r="J8" s="123">
        <f t="shared" si="3"/>
        <v>282700</v>
      </c>
      <c r="K8" s="93">
        <f t="shared" si="4"/>
        <v>1413500</v>
      </c>
      <c r="L8" s="86">
        <f>+'%'!F8</f>
        <v>0</v>
      </c>
      <c r="M8" s="87">
        <f t="shared" si="5"/>
        <v>0</v>
      </c>
      <c r="N8" s="93">
        <f t="shared" si="12"/>
        <v>0</v>
      </c>
      <c r="O8" s="233">
        <v>0.02</v>
      </c>
      <c r="P8" s="234">
        <f t="shared" si="6"/>
        <v>56540</v>
      </c>
      <c r="Q8" s="233">
        <f>+'%'!H8</f>
        <v>0.05</v>
      </c>
      <c r="R8" s="234">
        <f t="shared" si="7"/>
        <v>141350</v>
      </c>
      <c r="S8" s="93">
        <f t="shared" si="13"/>
        <v>197890</v>
      </c>
      <c r="T8" s="238">
        <f>+'%'!I8</f>
        <v>0</v>
      </c>
      <c r="U8" s="239">
        <f t="shared" si="8"/>
        <v>0</v>
      </c>
      <c r="V8" s="238">
        <f>+'%'!J8</f>
        <v>0.1</v>
      </c>
      <c r="W8" s="239">
        <f t="shared" si="9"/>
        <v>282700</v>
      </c>
      <c r="X8" s="93">
        <f t="shared" si="14"/>
        <v>282700</v>
      </c>
      <c r="Y8" s="88">
        <v>0.13</v>
      </c>
      <c r="Z8" s="89">
        <f t="shared" si="10"/>
        <v>367510</v>
      </c>
      <c r="AA8" s="93">
        <f t="shared" si="15"/>
        <v>367510</v>
      </c>
      <c r="AB8" s="81">
        <f t="shared" si="16"/>
        <v>0</v>
      </c>
      <c r="AC8" s="82">
        <f t="shared" si="11"/>
        <v>1</v>
      </c>
    </row>
    <row r="9" spans="1:30" x14ac:dyDescent="0.25">
      <c r="A9" s="46" t="s">
        <v>51</v>
      </c>
      <c r="B9" s="90">
        <f>+' NOMINAS ENE-DIC'!D23</f>
        <v>1809600</v>
      </c>
      <c r="C9" s="91">
        <f>+'%'!B8</f>
        <v>0.2</v>
      </c>
      <c r="D9" s="93">
        <f t="shared" si="0"/>
        <v>361920</v>
      </c>
      <c r="E9" s="122">
        <f>+'%'!C8</f>
        <v>0.1</v>
      </c>
      <c r="F9" s="123">
        <f t="shared" ref="F9" si="17">+B9*E9</f>
        <v>180960</v>
      </c>
      <c r="G9" s="122">
        <f>+'%'!D8</f>
        <v>0.3</v>
      </c>
      <c r="H9" s="123">
        <f t="shared" ref="H9" si="18">+B9*G9</f>
        <v>542880</v>
      </c>
      <c r="I9" s="122">
        <f>+'%'!E8</f>
        <v>0.1</v>
      </c>
      <c r="J9" s="123">
        <f t="shared" ref="J9" si="19">+B9*I9</f>
        <v>180960</v>
      </c>
      <c r="K9" s="93">
        <f t="shared" ref="K9" si="20">+F9+H9+J9</f>
        <v>904800</v>
      </c>
      <c r="L9" s="86">
        <f>+'%'!F8</f>
        <v>0</v>
      </c>
      <c r="M9" s="87">
        <f t="shared" ref="M9" si="21">+L9*B9</f>
        <v>0</v>
      </c>
      <c r="N9" s="93">
        <f t="shared" si="12"/>
        <v>0</v>
      </c>
      <c r="O9" s="233">
        <v>0.02</v>
      </c>
      <c r="P9" s="234">
        <f t="shared" ref="P9" si="22">+O9*B9</f>
        <v>36192</v>
      </c>
      <c r="Q9" s="233">
        <f>+'%'!H8</f>
        <v>0.05</v>
      </c>
      <c r="R9" s="234">
        <f t="shared" ref="R9" si="23">+Q9*B9</f>
        <v>90480</v>
      </c>
      <c r="S9" s="93">
        <f t="shared" si="13"/>
        <v>126672</v>
      </c>
      <c r="T9" s="238">
        <f>+'%'!I8</f>
        <v>0</v>
      </c>
      <c r="U9" s="239">
        <f t="shared" ref="U9" si="24">+T9*B9</f>
        <v>0</v>
      </c>
      <c r="V9" s="238">
        <f>+'%'!J8</f>
        <v>0.1</v>
      </c>
      <c r="W9" s="239">
        <f t="shared" ref="W9" si="25">+V9*B9</f>
        <v>180960</v>
      </c>
      <c r="X9" s="93">
        <f t="shared" si="14"/>
        <v>180960</v>
      </c>
      <c r="Y9" s="88">
        <v>0.13</v>
      </c>
      <c r="Z9" s="89">
        <f t="shared" ref="Z9" si="26">+Y9*B9</f>
        <v>235248</v>
      </c>
      <c r="AA9" s="93">
        <f t="shared" si="15"/>
        <v>235248</v>
      </c>
      <c r="AB9" s="81">
        <f t="shared" si="16"/>
        <v>0</v>
      </c>
      <c r="AC9" s="82">
        <f t="shared" ref="AC9" si="27">+C9+E9+G9+I9+L9+O9+Q9+T9+V9+Y9</f>
        <v>1</v>
      </c>
    </row>
    <row r="10" spans="1:30" x14ac:dyDescent="0.25">
      <c r="A10" s="46" t="s">
        <v>185</v>
      </c>
      <c r="B10" s="90">
        <f>+' NOMINAS ENE-DIC'!D21</f>
        <v>870000</v>
      </c>
      <c r="C10" s="91">
        <f>+'%'!B9</f>
        <v>0.2</v>
      </c>
      <c r="D10" s="93">
        <f t="shared" si="0"/>
        <v>174000</v>
      </c>
      <c r="E10" s="122">
        <f>+'%'!C9</f>
        <v>0.1</v>
      </c>
      <c r="F10" s="123">
        <f t="shared" si="1"/>
        <v>87000</v>
      </c>
      <c r="G10" s="122">
        <f>+'%'!D9</f>
        <v>0.2</v>
      </c>
      <c r="H10" s="123">
        <f t="shared" si="2"/>
        <v>174000</v>
      </c>
      <c r="I10" s="122">
        <f>+'%'!E9</f>
        <v>0.15</v>
      </c>
      <c r="J10" s="123">
        <f t="shared" si="3"/>
        <v>130500</v>
      </c>
      <c r="K10" s="93">
        <f t="shared" si="4"/>
        <v>391500</v>
      </c>
      <c r="L10" s="86">
        <f>+'%'!F9</f>
        <v>0</v>
      </c>
      <c r="M10" s="87">
        <f t="shared" si="5"/>
        <v>0</v>
      </c>
      <c r="N10" s="93">
        <f t="shared" si="12"/>
        <v>0</v>
      </c>
      <c r="O10" s="233">
        <v>0.02</v>
      </c>
      <c r="P10" s="234">
        <f t="shared" si="6"/>
        <v>17400</v>
      </c>
      <c r="Q10" s="233">
        <f>+'%'!H9</f>
        <v>0.1</v>
      </c>
      <c r="R10" s="234">
        <f t="shared" si="7"/>
        <v>87000</v>
      </c>
      <c r="S10" s="93">
        <f t="shared" si="13"/>
        <v>104400</v>
      </c>
      <c r="T10" s="238">
        <f>+'%'!I9</f>
        <v>0</v>
      </c>
      <c r="U10" s="239">
        <f t="shared" si="8"/>
        <v>0</v>
      </c>
      <c r="V10" s="238">
        <f>+'%'!J9</f>
        <v>0.2</v>
      </c>
      <c r="W10" s="239">
        <f t="shared" si="9"/>
        <v>174000</v>
      </c>
      <c r="X10" s="93">
        <f t="shared" si="14"/>
        <v>174000</v>
      </c>
      <c r="Y10" s="88">
        <v>0.03</v>
      </c>
      <c r="Z10" s="89">
        <f t="shared" si="10"/>
        <v>26100</v>
      </c>
      <c r="AA10" s="93">
        <f t="shared" si="15"/>
        <v>26100</v>
      </c>
      <c r="AB10" s="81">
        <f t="shared" si="16"/>
        <v>0</v>
      </c>
      <c r="AC10" s="82">
        <f t="shared" si="11"/>
        <v>1</v>
      </c>
    </row>
    <row r="11" spans="1:30" x14ac:dyDescent="0.25">
      <c r="A11" s="46" t="s">
        <v>181</v>
      </c>
      <c r="B11" s="92">
        <f>SUM(B5:B10)</f>
        <v>14072752</v>
      </c>
      <c r="C11" s="44"/>
      <c r="D11" s="93">
        <f>SUM(D5:D10)</f>
        <v>2345766</v>
      </c>
      <c r="E11" s="124"/>
      <c r="F11" s="125">
        <f>SUM(F5:F10)</f>
        <v>2179102.4</v>
      </c>
      <c r="G11" s="124"/>
      <c r="H11" s="125">
        <f>SUM(H5:H10)</f>
        <v>4195540.8</v>
      </c>
      <c r="I11" s="124"/>
      <c r="J11" s="125">
        <f>SUM(J5:J10)</f>
        <v>1095219.2</v>
      </c>
      <c r="K11" s="93">
        <f>SUM(K5:K10)</f>
        <v>7469862.4000000004</v>
      </c>
      <c r="L11" s="44"/>
      <c r="M11" s="95">
        <f>SUM(M5:M10)</f>
        <v>35555.599999999999</v>
      </c>
      <c r="N11" s="93">
        <f t="shared" si="12"/>
        <v>35555.599999999999</v>
      </c>
      <c r="O11" s="235"/>
      <c r="P11" s="236">
        <f>SUM(P5:P10)</f>
        <v>181243.2</v>
      </c>
      <c r="Q11" s="235"/>
      <c r="R11" s="236">
        <f>SUM(R5:R10)</f>
        <v>621872.80000000005</v>
      </c>
      <c r="S11" s="93">
        <f t="shared" si="13"/>
        <v>803116</v>
      </c>
      <c r="T11" s="240"/>
      <c r="U11" s="241">
        <f>SUM(U5:U10)</f>
        <v>711112</v>
      </c>
      <c r="V11" s="240"/>
      <c r="W11" s="241">
        <f>SUM(W5:W10)</f>
        <v>1722926</v>
      </c>
      <c r="X11" s="93">
        <f>SUM(X5:X10)</f>
        <v>2434038</v>
      </c>
      <c r="Y11" s="79"/>
      <c r="Z11" s="94">
        <f>SUM(Z5:Z10)</f>
        <v>984414</v>
      </c>
      <c r="AA11" s="93">
        <f>SUM(AA5:AA10)</f>
        <v>984414</v>
      </c>
      <c r="AB11" s="81">
        <f t="shared" si="16"/>
        <v>0</v>
      </c>
      <c r="AC11" s="82">
        <f t="shared" si="11"/>
        <v>0</v>
      </c>
    </row>
    <row r="14" spans="1:30" ht="42.75" customHeight="1" x14ac:dyDescent="0.25">
      <c r="A14" s="71" t="s">
        <v>182</v>
      </c>
      <c r="B14" s="84" t="s">
        <v>180</v>
      </c>
      <c r="C14" s="74" t="s">
        <v>112</v>
      </c>
      <c r="D14" s="71" t="s">
        <v>170</v>
      </c>
      <c r="E14" s="120" t="s">
        <v>158</v>
      </c>
      <c r="F14" s="121" t="s">
        <v>175</v>
      </c>
      <c r="G14" s="120" t="s">
        <v>159</v>
      </c>
      <c r="H14" s="121" t="s">
        <v>175</v>
      </c>
      <c r="I14" s="121" t="s">
        <v>160</v>
      </c>
      <c r="J14" s="121" t="s">
        <v>176</v>
      </c>
      <c r="K14" s="71" t="s">
        <v>222</v>
      </c>
      <c r="L14" s="75" t="s">
        <v>161</v>
      </c>
      <c r="M14" s="75" t="s">
        <v>176</v>
      </c>
      <c r="N14" s="71" t="s">
        <v>300</v>
      </c>
      <c r="O14" s="231" t="s">
        <v>162</v>
      </c>
      <c r="P14" s="231" t="s">
        <v>176</v>
      </c>
      <c r="Q14" s="232" t="s">
        <v>163</v>
      </c>
      <c r="R14" s="232" t="s">
        <v>176</v>
      </c>
      <c r="S14" s="71" t="s">
        <v>171</v>
      </c>
      <c r="T14" s="237" t="s">
        <v>164</v>
      </c>
      <c r="U14" s="237" t="s">
        <v>176</v>
      </c>
      <c r="V14" s="158" t="s">
        <v>165</v>
      </c>
      <c r="W14" s="158" t="s">
        <v>176</v>
      </c>
      <c r="X14" s="69" t="s">
        <v>297</v>
      </c>
      <c r="Y14" s="78" t="s">
        <v>194</v>
      </c>
      <c r="Z14" s="78" t="s">
        <v>176</v>
      </c>
      <c r="AA14" s="69" t="s">
        <v>100</v>
      </c>
      <c r="AB14" s="98" t="s">
        <v>178</v>
      </c>
      <c r="AC14" s="98" t="s">
        <v>179</v>
      </c>
      <c r="AD14" s="158" t="s">
        <v>244</v>
      </c>
    </row>
    <row r="15" spans="1:30" x14ac:dyDescent="0.25">
      <c r="A15" s="46" t="s">
        <v>183</v>
      </c>
      <c r="B15" s="90">
        <v>1311360</v>
      </c>
      <c r="C15" s="91">
        <v>0.1</v>
      </c>
      <c r="D15" s="85">
        <f>+B15*C15</f>
        <v>131136</v>
      </c>
      <c r="E15" s="122">
        <v>0.05</v>
      </c>
      <c r="F15" s="123">
        <f>+B15*E15</f>
        <v>65568</v>
      </c>
      <c r="G15" s="122">
        <v>0.15</v>
      </c>
      <c r="H15" s="123">
        <f>+B15*G15</f>
        <v>196704</v>
      </c>
      <c r="I15" s="122">
        <v>0.01</v>
      </c>
      <c r="J15" s="123">
        <f>+B15*I15</f>
        <v>13113.6</v>
      </c>
      <c r="K15" s="93">
        <f>+F15+H15+J15</f>
        <v>275385.59999999998</v>
      </c>
      <c r="L15" s="86">
        <v>0.01</v>
      </c>
      <c r="M15" s="87">
        <f>+L15*B15</f>
        <v>13113.6</v>
      </c>
      <c r="N15" s="93">
        <f>+M15</f>
        <v>13113.6</v>
      </c>
      <c r="O15" s="233">
        <v>0.03</v>
      </c>
      <c r="P15" s="234">
        <f>+O15*B15</f>
        <v>39340.799999999996</v>
      </c>
      <c r="Q15" s="233">
        <v>0.05</v>
      </c>
      <c r="R15" s="234">
        <f>+Q15*B15</f>
        <v>65568</v>
      </c>
      <c r="S15" s="93">
        <f>+P15+R15</f>
        <v>104908.79999999999</v>
      </c>
      <c r="T15" s="238">
        <v>0.15</v>
      </c>
      <c r="U15" s="239">
        <f>+T15*B15</f>
        <v>196704</v>
      </c>
      <c r="V15" s="238">
        <v>0.45</v>
      </c>
      <c r="W15" s="239">
        <f>+V15*B15</f>
        <v>590112</v>
      </c>
      <c r="X15" s="242">
        <f>+U15+W15</f>
        <v>786816</v>
      </c>
      <c r="Y15" s="88">
        <v>0</v>
      </c>
      <c r="Z15" s="89">
        <f t="shared" ref="Z15:Z43" si="28">+Y15*B15</f>
        <v>0</v>
      </c>
      <c r="AA15" s="93">
        <f>+Z15</f>
        <v>0</v>
      </c>
      <c r="AB15" s="81">
        <f>+(D15+K15+N15+S15+X15+AA15)-B15</f>
        <v>0</v>
      </c>
      <c r="AC15" s="82">
        <f>+C15+E15+G15+I15+L15+O15+Q15+T15+V15+Y15</f>
        <v>1</v>
      </c>
      <c r="AD15" s="159">
        <f t="shared" ref="AD15:AD43" si="29">+AA15+S15+K15</f>
        <v>380294.39999999997</v>
      </c>
    </row>
    <row r="16" spans="1:30" x14ac:dyDescent="0.25">
      <c r="A16" s="46" t="s">
        <v>81</v>
      </c>
      <c r="B16" s="90">
        <f>+' NOMINAS ENE-DIC'!I8</f>
        <v>6260</v>
      </c>
      <c r="C16" s="91">
        <v>0</v>
      </c>
      <c r="D16" s="85">
        <f t="shared" ref="D16:D17" si="30">+B16*C16</f>
        <v>0</v>
      </c>
      <c r="E16" s="122">
        <v>0.6</v>
      </c>
      <c r="F16" s="123">
        <f t="shared" ref="F16:F17" si="31">+B16*E16</f>
        <v>3756</v>
      </c>
      <c r="G16" s="122">
        <v>0.4</v>
      </c>
      <c r="H16" s="123">
        <f t="shared" ref="H16:H17" si="32">+B16*G16</f>
        <v>2504</v>
      </c>
      <c r="I16" s="122">
        <v>0</v>
      </c>
      <c r="J16" s="123">
        <f t="shared" ref="J16:J17" si="33">+B16*I16</f>
        <v>0</v>
      </c>
      <c r="K16" s="93">
        <f t="shared" ref="K16:K17" si="34">+F16+H16+J16</f>
        <v>6260</v>
      </c>
      <c r="L16" s="86">
        <v>0</v>
      </c>
      <c r="M16" s="87">
        <f t="shared" ref="M16:M17" si="35">+L16*B16</f>
        <v>0</v>
      </c>
      <c r="N16" s="93">
        <f t="shared" ref="N16:N44" si="36">+M16</f>
        <v>0</v>
      </c>
      <c r="O16" s="233">
        <v>0</v>
      </c>
      <c r="P16" s="234">
        <f t="shared" ref="P16:P17" si="37">+O16*B16</f>
        <v>0</v>
      </c>
      <c r="Q16" s="233">
        <v>0</v>
      </c>
      <c r="R16" s="234">
        <f t="shared" ref="R16:R17" si="38">+Q16*B16</f>
        <v>0</v>
      </c>
      <c r="S16" s="93">
        <f t="shared" ref="S16:S43" si="39">+P16+R16</f>
        <v>0</v>
      </c>
      <c r="T16" s="238">
        <v>0</v>
      </c>
      <c r="U16" s="239">
        <f t="shared" ref="U16:U17" si="40">+T16*B16</f>
        <v>0</v>
      </c>
      <c r="V16" s="238">
        <v>0</v>
      </c>
      <c r="W16" s="239">
        <f>+V16*B16</f>
        <v>0</v>
      </c>
      <c r="X16" s="242">
        <f t="shared" ref="X16:X43" si="41">+U16+W16</f>
        <v>0</v>
      </c>
      <c r="Y16" s="88">
        <v>0</v>
      </c>
      <c r="Z16" s="89">
        <f t="shared" si="28"/>
        <v>0</v>
      </c>
      <c r="AA16" s="93">
        <f t="shared" ref="AA16:AA44" si="42">+Z16</f>
        <v>0</v>
      </c>
      <c r="AB16" s="81">
        <f t="shared" ref="AB16:AB44" si="43">+(D16+K16+N16+S16+X16+AA16)-B16</f>
        <v>0</v>
      </c>
      <c r="AC16" s="82">
        <f t="shared" ref="AC16:AC44" si="44">+C16+E16+G16+I16+L16+O16+Q16+T16+V16+Y16</f>
        <v>1</v>
      </c>
      <c r="AD16" s="159">
        <f t="shared" si="29"/>
        <v>6260</v>
      </c>
    </row>
    <row r="17" spans="1:30" x14ac:dyDescent="0.25">
      <c r="A17" s="46" t="s">
        <v>186</v>
      </c>
      <c r="B17" s="90">
        <v>640000</v>
      </c>
      <c r="C17" s="91">
        <v>0.1</v>
      </c>
      <c r="D17" s="85">
        <f t="shared" si="30"/>
        <v>64000</v>
      </c>
      <c r="E17" s="122">
        <v>0</v>
      </c>
      <c r="F17" s="123">
        <f t="shared" si="31"/>
        <v>0</v>
      </c>
      <c r="G17" s="122">
        <v>0</v>
      </c>
      <c r="H17" s="123">
        <f t="shared" si="32"/>
        <v>0</v>
      </c>
      <c r="I17" s="122">
        <v>0</v>
      </c>
      <c r="J17" s="123">
        <f t="shared" si="33"/>
        <v>0</v>
      </c>
      <c r="K17" s="93">
        <f t="shared" si="34"/>
        <v>0</v>
      </c>
      <c r="L17" s="86">
        <v>0.01</v>
      </c>
      <c r="M17" s="87">
        <f t="shared" si="35"/>
        <v>6400</v>
      </c>
      <c r="N17" s="93">
        <f t="shared" si="36"/>
        <v>6400</v>
      </c>
      <c r="O17" s="233">
        <v>0.1</v>
      </c>
      <c r="P17" s="234">
        <f t="shared" si="37"/>
        <v>64000</v>
      </c>
      <c r="Q17" s="233">
        <v>0.15</v>
      </c>
      <c r="R17" s="234">
        <f t="shared" si="38"/>
        <v>96000</v>
      </c>
      <c r="S17" s="93">
        <f t="shared" si="39"/>
        <v>160000</v>
      </c>
      <c r="T17" s="238">
        <v>0.2</v>
      </c>
      <c r="U17" s="239">
        <f t="shared" si="40"/>
        <v>128000</v>
      </c>
      <c r="V17" s="238">
        <v>0.34</v>
      </c>
      <c r="W17" s="239">
        <f t="shared" ref="W17:W43" si="45">+V17*B17</f>
        <v>217600.00000000003</v>
      </c>
      <c r="X17" s="242">
        <f t="shared" si="41"/>
        <v>345600</v>
      </c>
      <c r="Y17" s="88">
        <v>0.1</v>
      </c>
      <c r="Z17" s="89">
        <f t="shared" si="28"/>
        <v>64000</v>
      </c>
      <c r="AA17" s="93">
        <f t="shared" si="42"/>
        <v>64000</v>
      </c>
      <c r="AB17" s="81">
        <f t="shared" si="43"/>
        <v>0</v>
      </c>
      <c r="AC17" s="82">
        <f t="shared" si="44"/>
        <v>1.0000000000000002</v>
      </c>
      <c r="AD17" s="159">
        <f t="shared" si="29"/>
        <v>224000</v>
      </c>
    </row>
    <row r="18" spans="1:30" x14ac:dyDescent="0.25">
      <c r="A18" s="46" t="s">
        <v>28</v>
      </c>
      <c r="B18" s="90"/>
      <c r="C18" s="91">
        <v>0.1</v>
      </c>
      <c r="D18" s="85">
        <f t="shared" ref="D18:D43" si="46">+B18*C18</f>
        <v>0</v>
      </c>
      <c r="E18" s="122">
        <v>0</v>
      </c>
      <c r="F18" s="123">
        <f t="shared" ref="F18:F43" si="47">+B18*E18</f>
        <v>0</v>
      </c>
      <c r="G18" s="122">
        <v>0</v>
      </c>
      <c r="H18" s="123">
        <f t="shared" ref="H18:H43" si="48">+B18*G18</f>
        <v>0</v>
      </c>
      <c r="I18" s="122">
        <v>0</v>
      </c>
      <c r="J18" s="123">
        <f t="shared" ref="J18:J43" si="49">+B18*I18</f>
        <v>0</v>
      </c>
      <c r="K18" s="93">
        <f t="shared" ref="K18:K43" si="50">+F18+H18+J18</f>
        <v>0</v>
      </c>
      <c r="L18" s="86">
        <v>0</v>
      </c>
      <c r="M18" s="87">
        <f t="shared" ref="M18:M43" si="51">+L18*B18</f>
        <v>0</v>
      </c>
      <c r="N18" s="93">
        <f t="shared" si="36"/>
        <v>0</v>
      </c>
      <c r="O18" s="233">
        <v>0</v>
      </c>
      <c r="P18" s="234">
        <f t="shared" ref="P18:P43" si="52">+O18*B18</f>
        <v>0</v>
      </c>
      <c r="Q18" s="233">
        <v>0</v>
      </c>
      <c r="R18" s="234">
        <f t="shared" ref="R18:R43" si="53">+Q18*B18</f>
        <v>0</v>
      </c>
      <c r="S18" s="93">
        <f t="shared" si="39"/>
        <v>0</v>
      </c>
      <c r="T18" s="238">
        <v>0.1</v>
      </c>
      <c r="U18" s="239">
        <f t="shared" ref="U18:U43" si="54">+T18*B18</f>
        <v>0</v>
      </c>
      <c r="V18" s="238">
        <v>0.7</v>
      </c>
      <c r="W18" s="239">
        <f t="shared" si="45"/>
        <v>0</v>
      </c>
      <c r="X18" s="242">
        <f t="shared" si="41"/>
        <v>0</v>
      </c>
      <c r="Y18" s="88">
        <v>0.1</v>
      </c>
      <c r="Z18" s="89">
        <f t="shared" si="28"/>
        <v>0</v>
      </c>
      <c r="AA18" s="93">
        <f t="shared" si="42"/>
        <v>0</v>
      </c>
      <c r="AB18" s="81">
        <f t="shared" si="43"/>
        <v>0</v>
      </c>
      <c r="AC18" s="82">
        <f t="shared" si="44"/>
        <v>0.99999999999999989</v>
      </c>
      <c r="AD18" s="159">
        <f t="shared" si="29"/>
        <v>0</v>
      </c>
    </row>
    <row r="19" spans="1:30" x14ac:dyDescent="0.25">
      <c r="A19" s="46" t="s">
        <v>121</v>
      </c>
      <c r="B19" s="90"/>
      <c r="C19" s="91">
        <v>0.1</v>
      </c>
      <c r="D19" s="85">
        <f t="shared" si="46"/>
        <v>0</v>
      </c>
      <c r="E19" s="122">
        <v>0.05</v>
      </c>
      <c r="F19" s="123">
        <f t="shared" si="47"/>
        <v>0</v>
      </c>
      <c r="G19" s="122">
        <v>0.05</v>
      </c>
      <c r="H19" s="123">
        <f t="shared" si="48"/>
        <v>0</v>
      </c>
      <c r="I19" s="122">
        <v>0.01</v>
      </c>
      <c r="J19" s="123">
        <f t="shared" si="49"/>
        <v>0</v>
      </c>
      <c r="K19" s="93">
        <f t="shared" si="50"/>
        <v>0</v>
      </c>
      <c r="L19" s="86">
        <v>0</v>
      </c>
      <c r="M19" s="87">
        <f t="shared" si="51"/>
        <v>0</v>
      </c>
      <c r="N19" s="93">
        <f t="shared" si="36"/>
        <v>0</v>
      </c>
      <c r="O19" s="233">
        <v>0.05</v>
      </c>
      <c r="P19" s="234">
        <f t="shared" si="52"/>
        <v>0</v>
      </c>
      <c r="Q19" s="233">
        <v>0.05</v>
      </c>
      <c r="R19" s="234">
        <f t="shared" si="53"/>
        <v>0</v>
      </c>
      <c r="S19" s="93">
        <f t="shared" si="39"/>
        <v>0</v>
      </c>
      <c r="T19" s="238">
        <v>0</v>
      </c>
      <c r="U19" s="239">
        <f t="shared" si="54"/>
        <v>0</v>
      </c>
      <c r="V19" s="238">
        <v>0.45</v>
      </c>
      <c r="W19" s="239">
        <f t="shared" si="45"/>
        <v>0</v>
      </c>
      <c r="X19" s="242">
        <f t="shared" si="41"/>
        <v>0</v>
      </c>
      <c r="Y19" s="88">
        <v>0.24</v>
      </c>
      <c r="Z19" s="89">
        <f t="shared" si="28"/>
        <v>0</v>
      </c>
      <c r="AA19" s="93">
        <f t="shared" si="42"/>
        <v>0</v>
      </c>
      <c r="AB19" s="81">
        <f t="shared" si="43"/>
        <v>0</v>
      </c>
      <c r="AC19" s="82">
        <f t="shared" si="44"/>
        <v>1</v>
      </c>
      <c r="AD19" s="159">
        <f t="shared" si="29"/>
        <v>0</v>
      </c>
    </row>
    <row r="20" spans="1:30" x14ac:dyDescent="0.25">
      <c r="A20" s="46" t="s">
        <v>111</v>
      </c>
      <c r="B20" s="90">
        <f>419894+97920</f>
        <v>517814</v>
      </c>
      <c r="C20" s="91">
        <v>0</v>
      </c>
      <c r="D20" s="85">
        <f t="shared" si="46"/>
        <v>0</v>
      </c>
      <c r="E20" s="122">
        <v>0</v>
      </c>
      <c r="F20" s="123">
        <f t="shared" si="47"/>
        <v>0</v>
      </c>
      <c r="G20" s="122">
        <v>0</v>
      </c>
      <c r="H20" s="123">
        <f t="shared" si="48"/>
        <v>0</v>
      </c>
      <c r="I20" s="122">
        <v>0</v>
      </c>
      <c r="J20" s="123">
        <f t="shared" si="49"/>
        <v>0</v>
      </c>
      <c r="K20" s="93">
        <f t="shared" si="50"/>
        <v>0</v>
      </c>
      <c r="L20" s="86">
        <v>0</v>
      </c>
      <c r="M20" s="87">
        <f t="shared" si="51"/>
        <v>0</v>
      </c>
      <c r="N20" s="93">
        <f t="shared" si="36"/>
        <v>0</v>
      </c>
      <c r="O20" s="233">
        <v>0</v>
      </c>
      <c r="P20" s="234">
        <f t="shared" si="52"/>
        <v>0</v>
      </c>
      <c r="Q20" s="233">
        <v>0</v>
      </c>
      <c r="R20" s="234">
        <f t="shared" si="53"/>
        <v>0</v>
      </c>
      <c r="S20" s="93">
        <f t="shared" si="39"/>
        <v>0</v>
      </c>
      <c r="T20" s="238">
        <v>0</v>
      </c>
      <c r="U20" s="239">
        <f t="shared" si="54"/>
        <v>0</v>
      </c>
      <c r="V20" s="238">
        <v>0</v>
      </c>
      <c r="W20" s="239">
        <f t="shared" si="45"/>
        <v>0</v>
      </c>
      <c r="X20" s="242">
        <f t="shared" si="41"/>
        <v>0</v>
      </c>
      <c r="Y20" s="88">
        <v>1</v>
      </c>
      <c r="Z20" s="89">
        <f t="shared" si="28"/>
        <v>517814</v>
      </c>
      <c r="AA20" s="93">
        <f t="shared" si="42"/>
        <v>517814</v>
      </c>
      <c r="AB20" s="81">
        <f t="shared" si="43"/>
        <v>0</v>
      </c>
      <c r="AC20" s="82">
        <f t="shared" si="44"/>
        <v>1</v>
      </c>
      <c r="AD20" s="159">
        <f t="shared" si="29"/>
        <v>517814</v>
      </c>
    </row>
    <row r="21" spans="1:30" x14ac:dyDescent="0.25">
      <c r="A21" s="46" t="s">
        <v>220</v>
      </c>
      <c r="B21" s="90">
        <v>195075</v>
      </c>
      <c r="C21" s="91">
        <v>0.1</v>
      </c>
      <c r="D21" s="85">
        <f t="shared" si="46"/>
        <v>19507.5</v>
      </c>
      <c r="E21" s="122">
        <v>0.05</v>
      </c>
      <c r="F21" s="123">
        <f t="shared" si="47"/>
        <v>9753.75</v>
      </c>
      <c r="G21" s="122">
        <v>0.15</v>
      </c>
      <c r="H21" s="123">
        <f t="shared" si="48"/>
        <v>29261.25</v>
      </c>
      <c r="I21" s="122">
        <v>0</v>
      </c>
      <c r="J21" s="123">
        <f t="shared" si="49"/>
        <v>0</v>
      </c>
      <c r="K21" s="93">
        <f t="shared" si="50"/>
        <v>39015</v>
      </c>
      <c r="L21" s="86">
        <v>0</v>
      </c>
      <c r="M21" s="87">
        <f t="shared" si="51"/>
        <v>0</v>
      </c>
      <c r="N21" s="93">
        <f t="shared" si="36"/>
        <v>0</v>
      </c>
      <c r="O21" s="233">
        <v>0</v>
      </c>
      <c r="P21" s="234">
        <f t="shared" si="52"/>
        <v>0</v>
      </c>
      <c r="Q21" s="233">
        <v>0.05</v>
      </c>
      <c r="R21" s="234">
        <f t="shared" si="53"/>
        <v>9753.75</v>
      </c>
      <c r="S21" s="93">
        <f t="shared" si="39"/>
        <v>9753.75</v>
      </c>
      <c r="T21" s="238">
        <v>0.15</v>
      </c>
      <c r="U21" s="239">
        <f t="shared" si="54"/>
        <v>29261.25</v>
      </c>
      <c r="V21" s="238">
        <v>0.45</v>
      </c>
      <c r="W21" s="239">
        <f t="shared" si="45"/>
        <v>87783.75</v>
      </c>
      <c r="X21" s="242">
        <f t="shared" si="41"/>
        <v>117045</v>
      </c>
      <c r="Y21" s="88">
        <v>0.05</v>
      </c>
      <c r="Z21" s="89">
        <f t="shared" si="28"/>
        <v>9753.75</v>
      </c>
      <c r="AA21" s="93">
        <f t="shared" si="42"/>
        <v>9753.75</v>
      </c>
      <c r="AB21" s="81">
        <f t="shared" si="43"/>
        <v>0</v>
      </c>
      <c r="AC21" s="82">
        <f t="shared" si="44"/>
        <v>1</v>
      </c>
      <c r="AD21" s="159">
        <f t="shared" si="29"/>
        <v>58522.5</v>
      </c>
    </row>
    <row r="22" spans="1:30" x14ac:dyDescent="0.25">
      <c r="A22" s="46" t="s">
        <v>68</v>
      </c>
      <c r="B22" s="90">
        <v>201221</v>
      </c>
      <c r="C22" s="91">
        <v>0.1</v>
      </c>
      <c r="D22" s="85">
        <f t="shared" si="46"/>
        <v>20122.100000000002</v>
      </c>
      <c r="E22" s="122">
        <v>0.05</v>
      </c>
      <c r="F22" s="123">
        <f t="shared" si="47"/>
        <v>10061.050000000001</v>
      </c>
      <c r="G22" s="122">
        <v>0.15</v>
      </c>
      <c r="H22" s="123">
        <f t="shared" si="48"/>
        <v>30183.149999999998</v>
      </c>
      <c r="I22" s="122">
        <v>0</v>
      </c>
      <c r="J22" s="123">
        <f t="shared" si="49"/>
        <v>0</v>
      </c>
      <c r="K22" s="93">
        <f t="shared" si="50"/>
        <v>40244.199999999997</v>
      </c>
      <c r="L22" s="86">
        <v>0</v>
      </c>
      <c r="M22" s="87">
        <f t="shared" si="51"/>
        <v>0</v>
      </c>
      <c r="N22" s="93">
        <f t="shared" si="36"/>
        <v>0</v>
      </c>
      <c r="O22" s="233">
        <v>0</v>
      </c>
      <c r="P22" s="234">
        <f t="shared" si="52"/>
        <v>0</v>
      </c>
      <c r="Q22" s="233">
        <v>0.05</v>
      </c>
      <c r="R22" s="234">
        <f t="shared" si="53"/>
        <v>10061.050000000001</v>
      </c>
      <c r="S22" s="93">
        <f t="shared" si="39"/>
        <v>10061.050000000001</v>
      </c>
      <c r="T22" s="238">
        <v>0.15</v>
      </c>
      <c r="U22" s="239">
        <f t="shared" si="54"/>
        <v>30183.149999999998</v>
      </c>
      <c r="V22" s="238">
        <v>0.45</v>
      </c>
      <c r="W22" s="239">
        <f t="shared" si="45"/>
        <v>90549.45</v>
      </c>
      <c r="X22" s="242">
        <f t="shared" si="41"/>
        <v>120732.59999999999</v>
      </c>
      <c r="Y22" s="88">
        <v>0.05</v>
      </c>
      <c r="Z22" s="89">
        <f t="shared" si="28"/>
        <v>10061.050000000001</v>
      </c>
      <c r="AA22" s="93">
        <f t="shared" si="42"/>
        <v>10061.050000000001</v>
      </c>
      <c r="AB22" s="81">
        <f t="shared" si="43"/>
        <v>0</v>
      </c>
      <c r="AC22" s="82">
        <f t="shared" si="44"/>
        <v>1</v>
      </c>
      <c r="AD22" s="159">
        <f t="shared" si="29"/>
        <v>60366.3</v>
      </c>
    </row>
    <row r="23" spans="1:30" x14ac:dyDescent="0.25">
      <c r="A23" s="46" t="s">
        <v>187</v>
      </c>
      <c r="B23" s="90">
        <v>201246</v>
      </c>
      <c r="C23" s="91">
        <v>0.1</v>
      </c>
      <c r="D23" s="85">
        <f t="shared" si="46"/>
        <v>20124.600000000002</v>
      </c>
      <c r="E23" s="122">
        <v>0</v>
      </c>
      <c r="F23" s="123">
        <f t="shared" si="47"/>
        <v>0</v>
      </c>
      <c r="G23" s="122">
        <v>0</v>
      </c>
      <c r="H23" s="123">
        <f t="shared" si="48"/>
        <v>0</v>
      </c>
      <c r="I23" s="122">
        <v>0.1</v>
      </c>
      <c r="J23" s="123">
        <f t="shared" si="49"/>
        <v>20124.600000000002</v>
      </c>
      <c r="K23" s="93">
        <f t="shared" si="50"/>
        <v>20124.600000000002</v>
      </c>
      <c r="L23" s="86">
        <v>0</v>
      </c>
      <c r="M23" s="87">
        <f t="shared" si="51"/>
        <v>0</v>
      </c>
      <c r="N23" s="93">
        <f t="shared" si="36"/>
        <v>0</v>
      </c>
      <c r="O23" s="233">
        <v>0.05</v>
      </c>
      <c r="P23" s="234">
        <f t="shared" si="52"/>
        <v>10062.300000000001</v>
      </c>
      <c r="Q23" s="233">
        <v>0.1</v>
      </c>
      <c r="R23" s="234">
        <f t="shared" si="53"/>
        <v>20124.600000000002</v>
      </c>
      <c r="S23" s="93">
        <f t="shared" si="39"/>
        <v>30186.9</v>
      </c>
      <c r="T23" s="238">
        <v>0.05</v>
      </c>
      <c r="U23" s="239">
        <f t="shared" si="54"/>
        <v>10062.300000000001</v>
      </c>
      <c r="V23" s="238">
        <v>0.6</v>
      </c>
      <c r="W23" s="239">
        <f t="shared" si="45"/>
        <v>120747.59999999999</v>
      </c>
      <c r="X23" s="242">
        <f t="shared" si="41"/>
        <v>130809.9</v>
      </c>
      <c r="Y23" s="88">
        <v>0</v>
      </c>
      <c r="Z23" s="89">
        <f t="shared" si="28"/>
        <v>0</v>
      </c>
      <c r="AA23" s="93">
        <f t="shared" si="42"/>
        <v>0</v>
      </c>
      <c r="AB23" s="81">
        <f t="shared" si="43"/>
        <v>0</v>
      </c>
      <c r="AC23" s="82">
        <f t="shared" si="44"/>
        <v>1</v>
      </c>
      <c r="AD23" s="159">
        <f t="shared" si="29"/>
        <v>50311.5</v>
      </c>
    </row>
    <row r="24" spans="1:30" x14ac:dyDescent="0.25">
      <c r="A24" s="46" t="s">
        <v>188</v>
      </c>
      <c r="B24" s="90">
        <f>384000+1708205</f>
        <v>2092205</v>
      </c>
      <c r="C24" s="91">
        <v>0.1</v>
      </c>
      <c r="D24" s="85">
        <f t="shared" si="46"/>
        <v>209220.5</v>
      </c>
      <c r="E24" s="122">
        <v>0</v>
      </c>
      <c r="F24" s="123">
        <f t="shared" si="47"/>
        <v>0</v>
      </c>
      <c r="G24" s="122">
        <v>0.1</v>
      </c>
      <c r="H24" s="123">
        <f t="shared" si="48"/>
        <v>209220.5</v>
      </c>
      <c r="I24" s="122">
        <v>0.02</v>
      </c>
      <c r="J24" s="123">
        <f t="shared" si="49"/>
        <v>41844.1</v>
      </c>
      <c r="K24" s="93">
        <f t="shared" si="50"/>
        <v>251064.6</v>
      </c>
      <c r="L24" s="86">
        <v>0</v>
      </c>
      <c r="M24" s="87">
        <f t="shared" si="51"/>
        <v>0</v>
      </c>
      <c r="N24" s="93">
        <f t="shared" si="36"/>
        <v>0</v>
      </c>
      <c r="O24" s="233">
        <v>0.1</v>
      </c>
      <c r="P24" s="234">
        <f t="shared" si="52"/>
        <v>209220.5</v>
      </c>
      <c r="Q24" s="233">
        <v>0.05</v>
      </c>
      <c r="R24" s="234">
        <f t="shared" si="53"/>
        <v>104610.25</v>
      </c>
      <c r="S24" s="93">
        <f t="shared" si="39"/>
        <v>313830.75</v>
      </c>
      <c r="T24" s="238">
        <v>0.02</v>
      </c>
      <c r="U24" s="239">
        <f t="shared" si="54"/>
        <v>41844.1</v>
      </c>
      <c r="V24" s="238">
        <v>0.61</v>
      </c>
      <c r="W24" s="239">
        <f t="shared" si="45"/>
        <v>1276245.05</v>
      </c>
      <c r="X24" s="242">
        <f t="shared" si="41"/>
        <v>1318089.1500000001</v>
      </c>
      <c r="Y24" s="88">
        <v>0</v>
      </c>
      <c r="Z24" s="89">
        <f t="shared" si="28"/>
        <v>0</v>
      </c>
      <c r="AA24" s="93">
        <f t="shared" si="42"/>
        <v>0</v>
      </c>
      <c r="AB24" s="81">
        <f t="shared" si="43"/>
        <v>0</v>
      </c>
      <c r="AC24" s="82">
        <f t="shared" si="44"/>
        <v>1</v>
      </c>
      <c r="AD24" s="159">
        <f t="shared" si="29"/>
        <v>564895.35</v>
      </c>
    </row>
    <row r="25" spans="1:30" x14ac:dyDescent="0.25">
      <c r="A25" s="46" t="s">
        <v>263</v>
      </c>
      <c r="B25" s="90">
        <f>3898000+295000</f>
        <v>4193000</v>
      </c>
      <c r="C25" s="91">
        <v>0.1</v>
      </c>
      <c r="D25" s="85">
        <f t="shared" ref="D25" si="55">+B25*C25</f>
        <v>419300</v>
      </c>
      <c r="E25" s="122">
        <v>0</v>
      </c>
      <c r="F25" s="123">
        <f t="shared" ref="F25" si="56">+B25*E25</f>
        <v>0</v>
      </c>
      <c r="G25" s="122">
        <v>0.1</v>
      </c>
      <c r="H25" s="123">
        <f t="shared" ref="H25" si="57">+B25*G25</f>
        <v>419300</v>
      </c>
      <c r="I25" s="122">
        <v>0.02</v>
      </c>
      <c r="J25" s="123">
        <f t="shared" ref="J25" si="58">+B25*I25</f>
        <v>83860</v>
      </c>
      <c r="K25" s="93">
        <f t="shared" ref="K25" si="59">+F25+H25+J25</f>
        <v>503160</v>
      </c>
      <c r="L25" s="86">
        <v>0</v>
      </c>
      <c r="M25" s="87">
        <f t="shared" ref="M25" si="60">+L25*B25</f>
        <v>0</v>
      </c>
      <c r="N25" s="93">
        <f t="shared" si="36"/>
        <v>0</v>
      </c>
      <c r="O25" s="233">
        <v>0.1</v>
      </c>
      <c r="P25" s="234">
        <f t="shared" ref="P25" si="61">+O25*B25</f>
        <v>419300</v>
      </c>
      <c r="Q25" s="233">
        <v>0.05</v>
      </c>
      <c r="R25" s="234">
        <f t="shared" ref="R25" si="62">+Q25*B25</f>
        <v>209650</v>
      </c>
      <c r="S25" s="93">
        <f t="shared" si="39"/>
        <v>628950</v>
      </c>
      <c r="T25" s="238">
        <v>0.02</v>
      </c>
      <c r="U25" s="239">
        <f t="shared" ref="U25" si="63">+T25*B25</f>
        <v>83860</v>
      </c>
      <c r="V25" s="238">
        <v>0.61</v>
      </c>
      <c r="W25" s="239">
        <f t="shared" ref="W25" si="64">+V25*B25</f>
        <v>2557730</v>
      </c>
      <c r="X25" s="242">
        <f t="shared" si="41"/>
        <v>2641590</v>
      </c>
      <c r="Y25" s="88">
        <v>0</v>
      </c>
      <c r="Z25" s="89">
        <f t="shared" ref="Z25" si="65">+Y25*B25</f>
        <v>0</v>
      </c>
      <c r="AA25" s="93">
        <f t="shared" si="42"/>
        <v>0</v>
      </c>
      <c r="AB25" s="81">
        <f t="shared" si="43"/>
        <v>0</v>
      </c>
      <c r="AC25" s="82">
        <f t="shared" ref="AC25" si="66">+C25+E25+G25+I25+L25+O25+Q25+T25+V25+Y25</f>
        <v>1</v>
      </c>
      <c r="AD25" s="159">
        <f t="shared" ref="AD25" si="67">+AA25+S25+K25</f>
        <v>1132110</v>
      </c>
    </row>
    <row r="26" spans="1:30" x14ac:dyDescent="0.25">
      <c r="A26" s="46" t="s">
        <v>108</v>
      </c>
      <c r="B26" s="90"/>
      <c r="C26" s="91">
        <v>0.1</v>
      </c>
      <c r="D26" s="85">
        <f t="shared" si="46"/>
        <v>0</v>
      </c>
      <c r="E26" s="122">
        <v>0.05</v>
      </c>
      <c r="F26" s="123">
        <f t="shared" si="47"/>
        <v>0</v>
      </c>
      <c r="G26" s="122">
        <v>0.05</v>
      </c>
      <c r="H26" s="123">
        <f t="shared" si="48"/>
        <v>0</v>
      </c>
      <c r="I26" s="122">
        <v>0.01</v>
      </c>
      <c r="J26" s="123">
        <f t="shared" si="49"/>
        <v>0</v>
      </c>
      <c r="K26" s="93">
        <f t="shared" si="50"/>
        <v>0</v>
      </c>
      <c r="L26" s="86">
        <v>0</v>
      </c>
      <c r="M26" s="87">
        <f t="shared" si="51"/>
        <v>0</v>
      </c>
      <c r="N26" s="93">
        <f t="shared" si="36"/>
        <v>0</v>
      </c>
      <c r="O26" s="233">
        <v>0.02</v>
      </c>
      <c r="P26" s="234">
        <f t="shared" si="52"/>
        <v>0</v>
      </c>
      <c r="Q26" s="233">
        <v>0.25</v>
      </c>
      <c r="R26" s="234">
        <f t="shared" si="53"/>
        <v>0</v>
      </c>
      <c r="S26" s="93">
        <f t="shared" si="39"/>
        <v>0</v>
      </c>
      <c r="T26" s="238">
        <v>0.02</v>
      </c>
      <c r="U26" s="239">
        <f t="shared" si="54"/>
        <v>0</v>
      </c>
      <c r="V26" s="238">
        <v>0.5</v>
      </c>
      <c r="W26" s="239">
        <f t="shared" si="45"/>
        <v>0</v>
      </c>
      <c r="X26" s="242">
        <f t="shared" si="41"/>
        <v>0</v>
      </c>
      <c r="Y26" s="88">
        <v>0</v>
      </c>
      <c r="Z26" s="89">
        <f t="shared" si="28"/>
        <v>0</v>
      </c>
      <c r="AA26" s="93">
        <f t="shared" si="42"/>
        <v>0</v>
      </c>
      <c r="AB26" s="81">
        <f t="shared" si="43"/>
        <v>0</v>
      </c>
      <c r="AC26" s="82">
        <f t="shared" si="44"/>
        <v>1</v>
      </c>
      <c r="AD26" s="159">
        <f t="shared" si="29"/>
        <v>0</v>
      </c>
    </row>
    <row r="27" spans="1:30" x14ac:dyDescent="0.25">
      <c r="A27" s="46" t="s">
        <v>155</v>
      </c>
      <c r="B27" s="90"/>
      <c r="C27" s="91">
        <v>0.1</v>
      </c>
      <c r="D27" s="85">
        <f t="shared" si="46"/>
        <v>0</v>
      </c>
      <c r="E27" s="122">
        <v>0</v>
      </c>
      <c r="F27" s="123">
        <f t="shared" si="47"/>
        <v>0</v>
      </c>
      <c r="G27" s="122">
        <v>0</v>
      </c>
      <c r="H27" s="123">
        <f t="shared" si="48"/>
        <v>0</v>
      </c>
      <c r="I27" s="122">
        <v>0</v>
      </c>
      <c r="J27" s="123">
        <f t="shared" si="49"/>
        <v>0</v>
      </c>
      <c r="K27" s="93">
        <f t="shared" si="50"/>
        <v>0</v>
      </c>
      <c r="L27" s="86">
        <v>0.1</v>
      </c>
      <c r="M27" s="87">
        <f t="shared" si="51"/>
        <v>0</v>
      </c>
      <c r="N27" s="93">
        <f t="shared" si="36"/>
        <v>0</v>
      </c>
      <c r="O27" s="233">
        <v>0.1</v>
      </c>
      <c r="P27" s="234">
        <f t="shared" si="52"/>
        <v>0</v>
      </c>
      <c r="Q27" s="233">
        <v>0.28000000000000003</v>
      </c>
      <c r="R27" s="234">
        <f t="shared" si="53"/>
        <v>0</v>
      </c>
      <c r="S27" s="93">
        <f t="shared" si="39"/>
        <v>0</v>
      </c>
      <c r="T27" s="238">
        <v>0.02</v>
      </c>
      <c r="U27" s="239">
        <f t="shared" si="54"/>
        <v>0</v>
      </c>
      <c r="V27" s="238">
        <v>0.4</v>
      </c>
      <c r="W27" s="239">
        <f t="shared" si="45"/>
        <v>0</v>
      </c>
      <c r="X27" s="242">
        <f t="shared" si="41"/>
        <v>0</v>
      </c>
      <c r="Y27" s="88">
        <v>0</v>
      </c>
      <c r="Z27" s="89">
        <f t="shared" si="28"/>
        <v>0</v>
      </c>
      <c r="AA27" s="93">
        <f t="shared" si="42"/>
        <v>0</v>
      </c>
      <c r="AB27" s="81">
        <f t="shared" si="43"/>
        <v>0</v>
      </c>
      <c r="AC27" s="82">
        <f t="shared" si="44"/>
        <v>1</v>
      </c>
      <c r="AD27" s="159">
        <f t="shared" si="29"/>
        <v>0</v>
      </c>
    </row>
    <row r="28" spans="1:30" x14ac:dyDescent="0.25">
      <c r="A28" s="46" t="s">
        <v>115</v>
      </c>
      <c r="B28" s="90"/>
      <c r="C28" s="91">
        <v>0.1</v>
      </c>
      <c r="D28" s="85">
        <f t="shared" si="46"/>
        <v>0</v>
      </c>
      <c r="E28" s="122">
        <v>0</v>
      </c>
      <c r="F28" s="123">
        <f t="shared" si="47"/>
        <v>0</v>
      </c>
      <c r="G28" s="122">
        <v>0</v>
      </c>
      <c r="H28" s="123">
        <f t="shared" si="48"/>
        <v>0</v>
      </c>
      <c r="I28" s="122">
        <v>0</v>
      </c>
      <c r="J28" s="123">
        <f t="shared" si="49"/>
        <v>0</v>
      </c>
      <c r="K28" s="93">
        <f t="shared" si="50"/>
        <v>0</v>
      </c>
      <c r="L28" s="86">
        <v>0.01</v>
      </c>
      <c r="M28" s="87">
        <f t="shared" si="51"/>
        <v>0</v>
      </c>
      <c r="N28" s="93">
        <f t="shared" si="36"/>
        <v>0</v>
      </c>
      <c r="O28" s="233">
        <v>0.1</v>
      </c>
      <c r="P28" s="234">
        <f t="shared" si="52"/>
        <v>0</v>
      </c>
      <c r="Q28" s="233">
        <v>0.2</v>
      </c>
      <c r="R28" s="234">
        <f t="shared" si="53"/>
        <v>0</v>
      </c>
      <c r="S28" s="93">
        <f t="shared" si="39"/>
        <v>0</v>
      </c>
      <c r="T28" s="238">
        <v>0.05</v>
      </c>
      <c r="U28" s="239">
        <f t="shared" si="54"/>
        <v>0</v>
      </c>
      <c r="V28" s="238">
        <v>0.5</v>
      </c>
      <c r="W28" s="239">
        <f t="shared" si="45"/>
        <v>0</v>
      </c>
      <c r="X28" s="242">
        <f t="shared" si="41"/>
        <v>0</v>
      </c>
      <c r="Y28" s="88">
        <v>0.04</v>
      </c>
      <c r="Z28" s="89">
        <f t="shared" si="28"/>
        <v>0</v>
      </c>
      <c r="AA28" s="93">
        <f t="shared" si="42"/>
        <v>0</v>
      </c>
      <c r="AB28" s="81">
        <f t="shared" si="43"/>
        <v>0</v>
      </c>
      <c r="AC28" s="82">
        <f t="shared" si="44"/>
        <v>1</v>
      </c>
      <c r="AD28" s="159">
        <f t="shared" si="29"/>
        <v>0</v>
      </c>
    </row>
    <row r="29" spans="1:30" x14ac:dyDescent="0.25">
      <c r="A29" s="46" t="s">
        <v>72</v>
      </c>
      <c r="B29" s="90"/>
      <c r="C29" s="91">
        <v>0.1</v>
      </c>
      <c r="D29" s="85">
        <f t="shared" si="46"/>
        <v>0</v>
      </c>
      <c r="E29" s="122">
        <v>0</v>
      </c>
      <c r="F29" s="123">
        <f t="shared" si="47"/>
        <v>0</v>
      </c>
      <c r="G29" s="122">
        <v>0</v>
      </c>
      <c r="H29" s="123">
        <f t="shared" si="48"/>
        <v>0</v>
      </c>
      <c r="I29" s="122">
        <v>0</v>
      </c>
      <c r="J29" s="123">
        <f t="shared" si="49"/>
        <v>0</v>
      </c>
      <c r="K29" s="93">
        <f t="shared" si="50"/>
        <v>0</v>
      </c>
      <c r="L29" s="86">
        <v>0.01</v>
      </c>
      <c r="M29" s="87">
        <f t="shared" si="51"/>
        <v>0</v>
      </c>
      <c r="N29" s="93">
        <f t="shared" si="36"/>
        <v>0</v>
      </c>
      <c r="O29" s="233">
        <v>0.1</v>
      </c>
      <c r="P29" s="234">
        <f t="shared" si="52"/>
        <v>0</v>
      </c>
      <c r="Q29" s="233">
        <v>0.2</v>
      </c>
      <c r="R29" s="234">
        <f t="shared" si="53"/>
        <v>0</v>
      </c>
      <c r="S29" s="93">
        <f t="shared" si="39"/>
        <v>0</v>
      </c>
      <c r="T29" s="238">
        <v>0.05</v>
      </c>
      <c r="U29" s="239">
        <f t="shared" si="54"/>
        <v>0</v>
      </c>
      <c r="V29" s="238">
        <v>0.3</v>
      </c>
      <c r="W29" s="239">
        <f t="shared" si="45"/>
        <v>0</v>
      </c>
      <c r="X29" s="242">
        <f t="shared" si="41"/>
        <v>0</v>
      </c>
      <c r="Y29" s="88">
        <v>0.24</v>
      </c>
      <c r="Z29" s="89">
        <f t="shared" si="28"/>
        <v>0</v>
      </c>
      <c r="AA29" s="93">
        <f t="shared" si="42"/>
        <v>0</v>
      </c>
      <c r="AB29" s="81">
        <f t="shared" si="43"/>
        <v>0</v>
      </c>
      <c r="AC29" s="82">
        <f t="shared" si="44"/>
        <v>1</v>
      </c>
      <c r="AD29" s="159">
        <f t="shared" si="29"/>
        <v>0</v>
      </c>
    </row>
    <row r="30" spans="1:30" x14ac:dyDescent="0.25">
      <c r="A30" s="46" t="s">
        <v>52</v>
      </c>
      <c r="B30" s="90">
        <v>7900</v>
      </c>
      <c r="C30" s="91">
        <v>0.1</v>
      </c>
      <c r="D30" s="85">
        <f t="shared" si="46"/>
        <v>790</v>
      </c>
      <c r="E30" s="122">
        <v>0</v>
      </c>
      <c r="F30" s="123">
        <f t="shared" si="47"/>
        <v>0</v>
      </c>
      <c r="G30" s="122">
        <v>0</v>
      </c>
      <c r="H30" s="123">
        <f t="shared" si="48"/>
        <v>0</v>
      </c>
      <c r="I30" s="122">
        <v>0</v>
      </c>
      <c r="J30" s="123">
        <f t="shared" si="49"/>
        <v>0</v>
      </c>
      <c r="K30" s="93">
        <f t="shared" si="50"/>
        <v>0</v>
      </c>
      <c r="L30" s="86">
        <v>0.01</v>
      </c>
      <c r="M30" s="87">
        <f t="shared" si="51"/>
        <v>79</v>
      </c>
      <c r="N30" s="93">
        <f t="shared" si="36"/>
        <v>79</v>
      </c>
      <c r="O30" s="233">
        <v>0.1</v>
      </c>
      <c r="P30" s="234">
        <f t="shared" si="52"/>
        <v>790</v>
      </c>
      <c r="Q30" s="233">
        <v>0.2</v>
      </c>
      <c r="R30" s="234">
        <f t="shared" si="53"/>
        <v>1580</v>
      </c>
      <c r="S30" s="93">
        <f t="shared" si="39"/>
        <v>2370</v>
      </c>
      <c r="T30" s="238">
        <v>0.05</v>
      </c>
      <c r="U30" s="239">
        <f t="shared" si="54"/>
        <v>395</v>
      </c>
      <c r="V30" s="238">
        <v>0.54</v>
      </c>
      <c r="W30" s="239">
        <f t="shared" si="45"/>
        <v>4266</v>
      </c>
      <c r="X30" s="242">
        <f t="shared" si="41"/>
        <v>4661</v>
      </c>
      <c r="Y30" s="88">
        <v>0</v>
      </c>
      <c r="Z30" s="89">
        <f t="shared" si="28"/>
        <v>0</v>
      </c>
      <c r="AA30" s="93">
        <f t="shared" si="42"/>
        <v>0</v>
      </c>
      <c r="AB30" s="81">
        <f t="shared" si="43"/>
        <v>0</v>
      </c>
      <c r="AC30" s="82">
        <f t="shared" si="44"/>
        <v>1</v>
      </c>
      <c r="AD30" s="159">
        <f t="shared" si="29"/>
        <v>2370</v>
      </c>
    </row>
    <row r="31" spans="1:30" x14ac:dyDescent="0.25">
      <c r="A31" s="46" t="s">
        <v>189</v>
      </c>
      <c r="B31" s="90"/>
      <c r="C31" s="91">
        <v>0.1</v>
      </c>
      <c r="D31" s="85">
        <f t="shared" si="46"/>
        <v>0</v>
      </c>
      <c r="E31" s="122">
        <v>0</v>
      </c>
      <c r="F31" s="123">
        <f t="shared" si="47"/>
        <v>0</v>
      </c>
      <c r="G31" s="122">
        <v>0</v>
      </c>
      <c r="H31" s="123">
        <f t="shared" si="48"/>
        <v>0</v>
      </c>
      <c r="I31" s="122">
        <v>0</v>
      </c>
      <c r="J31" s="123">
        <f t="shared" si="49"/>
        <v>0</v>
      </c>
      <c r="K31" s="93">
        <f t="shared" si="50"/>
        <v>0</v>
      </c>
      <c r="L31" s="86">
        <v>0.01</v>
      </c>
      <c r="M31" s="87">
        <f t="shared" si="51"/>
        <v>0</v>
      </c>
      <c r="N31" s="93">
        <f t="shared" si="36"/>
        <v>0</v>
      </c>
      <c r="O31" s="233">
        <v>0.1</v>
      </c>
      <c r="P31" s="234">
        <f t="shared" si="52"/>
        <v>0</v>
      </c>
      <c r="Q31" s="233">
        <v>0.2</v>
      </c>
      <c r="R31" s="234">
        <f t="shared" si="53"/>
        <v>0</v>
      </c>
      <c r="S31" s="93">
        <f t="shared" si="39"/>
        <v>0</v>
      </c>
      <c r="T31" s="238">
        <v>0.05</v>
      </c>
      <c r="U31" s="239">
        <f t="shared" si="54"/>
        <v>0</v>
      </c>
      <c r="V31" s="238">
        <v>0.54</v>
      </c>
      <c r="W31" s="239">
        <f t="shared" si="45"/>
        <v>0</v>
      </c>
      <c r="X31" s="242">
        <f t="shared" si="41"/>
        <v>0</v>
      </c>
      <c r="Y31" s="88">
        <v>0</v>
      </c>
      <c r="Z31" s="89">
        <f t="shared" si="28"/>
        <v>0</v>
      </c>
      <c r="AA31" s="93">
        <f t="shared" si="42"/>
        <v>0</v>
      </c>
      <c r="AB31" s="81">
        <f t="shared" si="43"/>
        <v>0</v>
      </c>
      <c r="AC31" s="82">
        <f t="shared" si="44"/>
        <v>1</v>
      </c>
      <c r="AD31" s="159">
        <f t="shared" si="29"/>
        <v>0</v>
      </c>
    </row>
    <row r="32" spans="1:30" x14ac:dyDescent="0.25">
      <c r="A32" s="46" t="s">
        <v>190</v>
      </c>
      <c r="B32" s="90"/>
      <c r="C32" s="91">
        <v>0.1</v>
      </c>
      <c r="D32" s="85">
        <f t="shared" si="46"/>
        <v>0</v>
      </c>
      <c r="E32" s="122">
        <v>0</v>
      </c>
      <c r="F32" s="123">
        <f t="shared" si="47"/>
        <v>0</v>
      </c>
      <c r="G32" s="122">
        <v>0</v>
      </c>
      <c r="H32" s="123">
        <f t="shared" si="48"/>
        <v>0</v>
      </c>
      <c r="I32" s="122">
        <v>0</v>
      </c>
      <c r="J32" s="123">
        <f t="shared" si="49"/>
        <v>0</v>
      </c>
      <c r="K32" s="93">
        <f t="shared" si="50"/>
        <v>0</v>
      </c>
      <c r="L32" s="86">
        <v>0.01</v>
      </c>
      <c r="M32" s="87">
        <f t="shared" si="51"/>
        <v>0</v>
      </c>
      <c r="N32" s="93">
        <f t="shared" si="36"/>
        <v>0</v>
      </c>
      <c r="O32" s="233">
        <v>0.1</v>
      </c>
      <c r="P32" s="234">
        <f t="shared" si="52"/>
        <v>0</v>
      </c>
      <c r="Q32" s="233">
        <v>0.2</v>
      </c>
      <c r="R32" s="234">
        <f t="shared" si="53"/>
        <v>0</v>
      </c>
      <c r="S32" s="93">
        <f t="shared" si="39"/>
        <v>0</v>
      </c>
      <c r="T32" s="238">
        <v>0.05</v>
      </c>
      <c r="U32" s="239">
        <f t="shared" si="54"/>
        <v>0</v>
      </c>
      <c r="V32" s="238">
        <v>0.54</v>
      </c>
      <c r="W32" s="239">
        <f t="shared" si="45"/>
        <v>0</v>
      </c>
      <c r="X32" s="242">
        <f t="shared" si="41"/>
        <v>0</v>
      </c>
      <c r="Y32" s="88">
        <v>0</v>
      </c>
      <c r="Z32" s="89">
        <f t="shared" si="28"/>
        <v>0</v>
      </c>
      <c r="AA32" s="93">
        <f t="shared" si="42"/>
        <v>0</v>
      </c>
      <c r="AB32" s="81">
        <f t="shared" si="43"/>
        <v>0</v>
      </c>
      <c r="AC32" s="82">
        <f t="shared" si="44"/>
        <v>1</v>
      </c>
      <c r="AD32" s="159">
        <f t="shared" si="29"/>
        <v>0</v>
      </c>
    </row>
    <row r="33" spans="1:30" x14ac:dyDescent="0.25">
      <c r="A33" s="46" t="s">
        <v>6</v>
      </c>
      <c r="B33" s="90">
        <f>277143+180000+280000</f>
        <v>737143</v>
      </c>
      <c r="C33" s="91">
        <v>0.1</v>
      </c>
      <c r="D33" s="85">
        <f t="shared" si="46"/>
        <v>73714.3</v>
      </c>
      <c r="E33" s="122">
        <v>0</v>
      </c>
      <c r="F33" s="123">
        <f t="shared" si="47"/>
        <v>0</v>
      </c>
      <c r="G33" s="122">
        <v>0</v>
      </c>
      <c r="H33" s="123">
        <f t="shared" si="48"/>
        <v>0</v>
      </c>
      <c r="I33" s="122">
        <v>0</v>
      </c>
      <c r="J33" s="123">
        <f t="shared" si="49"/>
        <v>0</v>
      </c>
      <c r="K33" s="93">
        <f t="shared" si="50"/>
        <v>0</v>
      </c>
      <c r="L33" s="86">
        <v>0</v>
      </c>
      <c r="M33" s="87">
        <f t="shared" si="51"/>
        <v>0</v>
      </c>
      <c r="N33" s="93">
        <f t="shared" si="36"/>
        <v>0</v>
      </c>
      <c r="O33" s="233">
        <v>0</v>
      </c>
      <c r="P33" s="234">
        <f t="shared" si="52"/>
        <v>0</v>
      </c>
      <c r="Q33" s="233">
        <v>0</v>
      </c>
      <c r="R33" s="234">
        <f t="shared" si="53"/>
        <v>0</v>
      </c>
      <c r="S33" s="93">
        <f t="shared" si="39"/>
        <v>0</v>
      </c>
      <c r="T33" s="238">
        <v>0</v>
      </c>
      <c r="U33" s="239">
        <f t="shared" si="54"/>
        <v>0</v>
      </c>
      <c r="V33" s="238">
        <v>0.2</v>
      </c>
      <c r="W33" s="239">
        <f t="shared" si="45"/>
        <v>147428.6</v>
      </c>
      <c r="X33" s="242">
        <f t="shared" si="41"/>
        <v>147428.6</v>
      </c>
      <c r="Y33" s="88">
        <v>0.7</v>
      </c>
      <c r="Z33" s="89">
        <f t="shared" si="28"/>
        <v>516000.1</v>
      </c>
      <c r="AA33" s="93">
        <f t="shared" si="42"/>
        <v>516000.1</v>
      </c>
      <c r="AB33" s="81">
        <f t="shared" si="43"/>
        <v>0</v>
      </c>
      <c r="AC33" s="82">
        <f t="shared" si="44"/>
        <v>1</v>
      </c>
      <c r="AD33" s="159">
        <f t="shared" si="29"/>
        <v>516000.1</v>
      </c>
    </row>
    <row r="34" spans="1:30" x14ac:dyDescent="0.25">
      <c r="A34" s="46" t="s">
        <v>191</v>
      </c>
      <c r="B34" s="90">
        <v>188981</v>
      </c>
      <c r="C34" s="91">
        <v>0.1</v>
      </c>
      <c r="D34" s="85">
        <f t="shared" si="46"/>
        <v>18898.100000000002</v>
      </c>
      <c r="E34" s="122">
        <v>0</v>
      </c>
      <c r="F34" s="123">
        <f t="shared" si="47"/>
        <v>0</v>
      </c>
      <c r="G34" s="122">
        <v>0</v>
      </c>
      <c r="H34" s="123">
        <f t="shared" si="48"/>
        <v>0</v>
      </c>
      <c r="I34" s="122">
        <v>0</v>
      </c>
      <c r="J34" s="123">
        <f t="shared" si="49"/>
        <v>0</v>
      </c>
      <c r="K34" s="93">
        <f t="shared" si="50"/>
        <v>0</v>
      </c>
      <c r="L34" s="86">
        <v>0.01</v>
      </c>
      <c r="M34" s="87">
        <f t="shared" si="51"/>
        <v>1889.81</v>
      </c>
      <c r="N34" s="93">
        <f t="shared" si="36"/>
        <v>1889.81</v>
      </c>
      <c r="O34" s="233">
        <v>0.05</v>
      </c>
      <c r="P34" s="234">
        <f t="shared" si="52"/>
        <v>9449.0500000000011</v>
      </c>
      <c r="Q34" s="233">
        <v>0.1</v>
      </c>
      <c r="R34" s="234">
        <f t="shared" si="53"/>
        <v>18898.100000000002</v>
      </c>
      <c r="S34" s="93">
        <f t="shared" si="39"/>
        <v>28347.15</v>
      </c>
      <c r="T34" s="238">
        <v>0.02</v>
      </c>
      <c r="U34" s="239">
        <f t="shared" si="54"/>
        <v>3779.62</v>
      </c>
      <c r="V34" s="238">
        <v>0.4</v>
      </c>
      <c r="W34" s="239">
        <f t="shared" si="45"/>
        <v>75592.400000000009</v>
      </c>
      <c r="X34" s="242">
        <f t="shared" si="41"/>
        <v>79372.02</v>
      </c>
      <c r="Y34" s="88">
        <v>0.32</v>
      </c>
      <c r="Z34" s="89">
        <f t="shared" si="28"/>
        <v>60473.919999999998</v>
      </c>
      <c r="AA34" s="93">
        <f t="shared" si="42"/>
        <v>60473.919999999998</v>
      </c>
      <c r="AB34" s="81">
        <f t="shared" si="43"/>
        <v>0</v>
      </c>
      <c r="AC34" s="82">
        <f t="shared" si="44"/>
        <v>1</v>
      </c>
      <c r="AD34" s="159">
        <f t="shared" si="29"/>
        <v>88821.07</v>
      </c>
    </row>
    <row r="35" spans="1:30" x14ac:dyDescent="0.25">
      <c r="A35" s="46" t="s">
        <v>192</v>
      </c>
      <c r="B35" s="90"/>
      <c r="C35" s="91">
        <v>0.1</v>
      </c>
      <c r="D35" s="85">
        <f t="shared" si="46"/>
        <v>0</v>
      </c>
      <c r="E35" s="122">
        <v>0</v>
      </c>
      <c r="F35" s="123">
        <f t="shared" si="47"/>
        <v>0</v>
      </c>
      <c r="G35" s="122">
        <v>0</v>
      </c>
      <c r="H35" s="123">
        <f t="shared" si="48"/>
        <v>0</v>
      </c>
      <c r="I35" s="122">
        <v>0</v>
      </c>
      <c r="J35" s="123">
        <f t="shared" si="49"/>
        <v>0</v>
      </c>
      <c r="K35" s="93">
        <f t="shared" si="50"/>
        <v>0</v>
      </c>
      <c r="L35" s="86">
        <v>0.01</v>
      </c>
      <c r="M35" s="87">
        <f t="shared" si="51"/>
        <v>0</v>
      </c>
      <c r="N35" s="93">
        <f t="shared" si="36"/>
        <v>0</v>
      </c>
      <c r="O35" s="233">
        <v>0.1</v>
      </c>
      <c r="P35" s="234">
        <f t="shared" si="52"/>
        <v>0</v>
      </c>
      <c r="Q35" s="233">
        <v>0.1</v>
      </c>
      <c r="R35" s="234">
        <f t="shared" si="53"/>
        <v>0</v>
      </c>
      <c r="S35" s="93">
        <f t="shared" si="39"/>
        <v>0</v>
      </c>
      <c r="T35" s="238">
        <v>0.1</v>
      </c>
      <c r="U35" s="239">
        <f t="shared" si="54"/>
        <v>0</v>
      </c>
      <c r="V35" s="238">
        <v>0.59</v>
      </c>
      <c r="W35" s="239">
        <f t="shared" si="45"/>
        <v>0</v>
      </c>
      <c r="X35" s="242">
        <f t="shared" si="41"/>
        <v>0</v>
      </c>
      <c r="Y35" s="88">
        <v>0</v>
      </c>
      <c r="Z35" s="89">
        <f t="shared" si="28"/>
        <v>0</v>
      </c>
      <c r="AA35" s="93">
        <f t="shared" si="42"/>
        <v>0</v>
      </c>
      <c r="AB35" s="81">
        <f t="shared" si="43"/>
        <v>0</v>
      </c>
      <c r="AC35" s="82">
        <f t="shared" si="44"/>
        <v>1</v>
      </c>
      <c r="AD35" s="159">
        <f t="shared" si="29"/>
        <v>0</v>
      </c>
    </row>
    <row r="36" spans="1:30" x14ac:dyDescent="0.25">
      <c r="A36" s="46" t="s">
        <v>247</v>
      </c>
      <c r="B36" s="90">
        <f>102074+113147</f>
        <v>215221</v>
      </c>
      <c r="C36" s="91">
        <v>0.1</v>
      </c>
      <c r="D36" s="85">
        <f t="shared" ref="D36" si="68">+B36*C36</f>
        <v>21522.100000000002</v>
      </c>
      <c r="E36" s="122">
        <v>0</v>
      </c>
      <c r="F36" s="123">
        <f t="shared" ref="F36" si="69">+B36*E36</f>
        <v>0</v>
      </c>
      <c r="G36" s="122">
        <v>0</v>
      </c>
      <c r="H36" s="123">
        <f t="shared" ref="H36" si="70">+B36*G36</f>
        <v>0</v>
      </c>
      <c r="I36" s="122">
        <v>0</v>
      </c>
      <c r="J36" s="123">
        <f t="shared" ref="J36" si="71">+B36*I36</f>
        <v>0</v>
      </c>
      <c r="K36" s="93">
        <f t="shared" ref="K36" si="72">+F36+H36+J36</f>
        <v>0</v>
      </c>
      <c r="L36" s="86">
        <v>0.01</v>
      </c>
      <c r="M36" s="87">
        <f t="shared" ref="M36" si="73">+L36*B36</f>
        <v>2152.21</v>
      </c>
      <c r="N36" s="93">
        <f t="shared" si="36"/>
        <v>2152.21</v>
      </c>
      <c r="O36" s="233">
        <v>0.1</v>
      </c>
      <c r="P36" s="234">
        <f t="shared" ref="P36" si="74">+O36*B36</f>
        <v>21522.100000000002</v>
      </c>
      <c r="Q36" s="233">
        <v>0.1</v>
      </c>
      <c r="R36" s="234">
        <f t="shared" ref="R36" si="75">+Q36*B36</f>
        <v>21522.100000000002</v>
      </c>
      <c r="S36" s="93">
        <f t="shared" si="39"/>
        <v>43044.200000000004</v>
      </c>
      <c r="T36" s="238">
        <v>0.1</v>
      </c>
      <c r="U36" s="239">
        <f t="shared" ref="U36" si="76">+T36*B36</f>
        <v>21522.100000000002</v>
      </c>
      <c r="V36" s="238">
        <v>0.59</v>
      </c>
      <c r="W36" s="239">
        <f t="shared" ref="W36" si="77">+V36*B36</f>
        <v>126980.39</v>
      </c>
      <c r="X36" s="242">
        <f t="shared" si="41"/>
        <v>148502.49</v>
      </c>
      <c r="Y36" s="88">
        <v>0</v>
      </c>
      <c r="Z36" s="89">
        <f t="shared" ref="Z36" si="78">+Y36*B36</f>
        <v>0</v>
      </c>
      <c r="AA36" s="93">
        <f t="shared" si="42"/>
        <v>0</v>
      </c>
      <c r="AB36" s="81">
        <f t="shared" si="43"/>
        <v>0</v>
      </c>
      <c r="AC36" s="82">
        <f t="shared" ref="AC36" si="79">+C36+E36+G36+I36+L36+O36+Q36+T36+V36+Y36</f>
        <v>1</v>
      </c>
      <c r="AD36" s="159">
        <f t="shared" ref="AD36" si="80">+AA36+S36+K36</f>
        <v>43044.200000000004</v>
      </c>
    </row>
    <row r="37" spans="1:30" x14ac:dyDescent="0.25">
      <c r="A37" s="46" t="s">
        <v>48</v>
      </c>
      <c r="B37" s="90">
        <f>268400+8000</f>
        <v>276400</v>
      </c>
      <c r="C37" s="91">
        <v>0.1</v>
      </c>
      <c r="D37" s="85">
        <f t="shared" si="46"/>
        <v>27640</v>
      </c>
      <c r="E37" s="122">
        <v>0</v>
      </c>
      <c r="F37" s="123">
        <f t="shared" ref="F37" si="81">+B37*E37</f>
        <v>0</v>
      </c>
      <c r="G37" s="122">
        <v>0</v>
      </c>
      <c r="H37" s="123">
        <f t="shared" ref="H37" si="82">+B37*G37</f>
        <v>0</v>
      </c>
      <c r="I37" s="122">
        <v>0</v>
      </c>
      <c r="J37" s="123">
        <f t="shared" ref="J37" si="83">+B37*I37</f>
        <v>0</v>
      </c>
      <c r="K37" s="93">
        <f t="shared" si="50"/>
        <v>0</v>
      </c>
      <c r="L37" s="86">
        <v>0.01</v>
      </c>
      <c r="M37" s="87">
        <f t="shared" ref="M37" si="84">+L37*B37</f>
        <v>2764</v>
      </c>
      <c r="N37" s="93">
        <f t="shared" si="36"/>
        <v>2764</v>
      </c>
      <c r="O37" s="233">
        <v>0.1</v>
      </c>
      <c r="P37" s="234">
        <f t="shared" ref="P37" si="85">+O37*B37</f>
        <v>27640</v>
      </c>
      <c r="Q37" s="233">
        <v>0.1</v>
      </c>
      <c r="R37" s="234">
        <f t="shared" ref="R37" si="86">+Q37*B37</f>
        <v>27640</v>
      </c>
      <c r="S37" s="93">
        <f t="shared" si="39"/>
        <v>55280</v>
      </c>
      <c r="T37" s="238">
        <v>0.1</v>
      </c>
      <c r="U37" s="239">
        <f t="shared" ref="U37" si="87">+T37*B37</f>
        <v>27640</v>
      </c>
      <c r="V37" s="238">
        <v>0.59</v>
      </c>
      <c r="W37" s="239">
        <f t="shared" ref="W37" si="88">+V37*B37</f>
        <v>163076</v>
      </c>
      <c r="X37" s="242">
        <f t="shared" si="41"/>
        <v>190716</v>
      </c>
      <c r="Y37" s="88">
        <v>0</v>
      </c>
      <c r="Z37" s="89">
        <f t="shared" ref="Z37" si="89">+Y37*B37</f>
        <v>0</v>
      </c>
      <c r="AA37" s="93">
        <f t="shared" si="42"/>
        <v>0</v>
      </c>
      <c r="AB37" s="81">
        <f t="shared" si="43"/>
        <v>0</v>
      </c>
      <c r="AC37" s="82">
        <f t="shared" si="44"/>
        <v>1</v>
      </c>
      <c r="AD37" s="159">
        <f t="shared" si="29"/>
        <v>55280</v>
      </c>
    </row>
    <row r="38" spans="1:30" x14ac:dyDescent="0.25">
      <c r="A38" s="46" t="s">
        <v>49</v>
      </c>
      <c r="B38" s="90">
        <v>4202</v>
      </c>
      <c r="C38" s="91">
        <v>0.1</v>
      </c>
      <c r="D38" s="85">
        <f t="shared" si="46"/>
        <v>420.20000000000005</v>
      </c>
      <c r="E38" s="122">
        <v>0</v>
      </c>
      <c r="F38" s="123">
        <f t="shared" ref="F38" si="90">+B38*E38</f>
        <v>0</v>
      </c>
      <c r="G38" s="122">
        <v>0</v>
      </c>
      <c r="H38" s="123">
        <f t="shared" ref="H38" si="91">+B38*G38</f>
        <v>0</v>
      </c>
      <c r="I38" s="122">
        <v>0</v>
      </c>
      <c r="J38" s="123">
        <f t="shared" ref="J38" si="92">+B38*I38</f>
        <v>0</v>
      </c>
      <c r="K38" s="93">
        <f t="shared" si="50"/>
        <v>0</v>
      </c>
      <c r="L38" s="86">
        <v>0.01</v>
      </c>
      <c r="M38" s="87">
        <f t="shared" ref="M38" si="93">+L38*B38</f>
        <v>42.02</v>
      </c>
      <c r="N38" s="93">
        <f t="shared" si="36"/>
        <v>42.02</v>
      </c>
      <c r="O38" s="233">
        <v>0.1</v>
      </c>
      <c r="P38" s="234">
        <f t="shared" ref="P38" si="94">+O38*B38</f>
        <v>420.20000000000005</v>
      </c>
      <c r="Q38" s="233">
        <v>0.2</v>
      </c>
      <c r="R38" s="234">
        <f t="shared" ref="R38" si="95">+Q38*B38</f>
        <v>840.40000000000009</v>
      </c>
      <c r="S38" s="93">
        <f t="shared" si="39"/>
        <v>1260.6000000000001</v>
      </c>
      <c r="T38" s="238">
        <v>0.1</v>
      </c>
      <c r="U38" s="239">
        <f t="shared" ref="U38" si="96">+T38*B38</f>
        <v>420.20000000000005</v>
      </c>
      <c r="V38" s="238">
        <v>0.49</v>
      </c>
      <c r="W38" s="239">
        <f t="shared" ref="W38" si="97">+V38*B38</f>
        <v>2058.98</v>
      </c>
      <c r="X38" s="242">
        <f t="shared" si="41"/>
        <v>2479.1800000000003</v>
      </c>
      <c r="Y38" s="88">
        <v>0</v>
      </c>
      <c r="Z38" s="89">
        <f t="shared" ref="Z38" si="98">+Y38*B38</f>
        <v>0</v>
      </c>
      <c r="AA38" s="93">
        <f t="shared" si="42"/>
        <v>0</v>
      </c>
      <c r="AB38" s="81">
        <f t="shared" si="43"/>
        <v>0</v>
      </c>
      <c r="AC38" s="82">
        <f t="shared" si="44"/>
        <v>1</v>
      </c>
      <c r="AD38" s="159">
        <f t="shared" si="29"/>
        <v>1260.6000000000001</v>
      </c>
    </row>
    <row r="39" spans="1:30" x14ac:dyDescent="0.25">
      <c r="A39" s="46" t="s">
        <v>193</v>
      </c>
      <c r="B39" s="90">
        <v>223529</v>
      </c>
      <c r="C39" s="91">
        <v>0</v>
      </c>
      <c r="D39" s="85">
        <f t="shared" si="46"/>
        <v>0</v>
      </c>
      <c r="E39" s="122">
        <v>0</v>
      </c>
      <c r="F39" s="123">
        <f t="shared" si="47"/>
        <v>0</v>
      </c>
      <c r="G39" s="122">
        <v>0</v>
      </c>
      <c r="H39" s="123">
        <f t="shared" si="48"/>
        <v>0</v>
      </c>
      <c r="I39" s="122">
        <v>0</v>
      </c>
      <c r="J39" s="123">
        <f t="shared" si="49"/>
        <v>0</v>
      </c>
      <c r="K39" s="93">
        <f t="shared" si="50"/>
        <v>0</v>
      </c>
      <c r="L39" s="86">
        <v>0</v>
      </c>
      <c r="M39" s="87">
        <f t="shared" si="51"/>
        <v>0</v>
      </c>
      <c r="N39" s="93">
        <f t="shared" si="36"/>
        <v>0</v>
      </c>
      <c r="O39" s="233">
        <v>0</v>
      </c>
      <c r="P39" s="234">
        <f t="shared" si="52"/>
        <v>0</v>
      </c>
      <c r="Q39" s="233">
        <v>1</v>
      </c>
      <c r="R39" s="234">
        <f t="shared" si="53"/>
        <v>223529</v>
      </c>
      <c r="S39" s="93">
        <f t="shared" si="39"/>
        <v>223529</v>
      </c>
      <c r="T39" s="238">
        <v>0</v>
      </c>
      <c r="U39" s="239">
        <f t="shared" si="54"/>
        <v>0</v>
      </c>
      <c r="V39" s="238">
        <v>0</v>
      </c>
      <c r="W39" s="239">
        <f t="shared" si="45"/>
        <v>0</v>
      </c>
      <c r="X39" s="242">
        <f t="shared" si="41"/>
        <v>0</v>
      </c>
      <c r="Y39" s="88">
        <v>0</v>
      </c>
      <c r="Z39" s="89">
        <f t="shared" si="28"/>
        <v>0</v>
      </c>
      <c r="AA39" s="93">
        <f t="shared" si="42"/>
        <v>0</v>
      </c>
      <c r="AB39" s="81">
        <f t="shared" si="43"/>
        <v>0</v>
      </c>
      <c r="AC39" s="82">
        <f t="shared" si="44"/>
        <v>1</v>
      </c>
      <c r="AD39" s="159">
        <f t="shared" si="29"/>
        <v>223529</v>
      </c>
    </row>
    <row r="40" spans="1:30" x14ac:dyDescent="0.25">
      <c r="A40" s="46" t="s">
        <v>213</v>
      </c>
      <c r="B40" s="90"/>
      <c r="C40" s="91">
        <v>0</v>
      </c>
      <c r="D40" s="85">
        <f t="shared" si="46"/>
        <v>0</v>
      </c>
      <c r="E40" s="122">
        <v>0</v>
      </c>
      <c r="F40" s="123">
        <f t="shared" si="47"/>
        <v>0</v>
      </c>
      <c r="G40" s="122">
        <v>0</v>
      </c>
      <c r="H40" s="123">
        <f t="shared" si="48"/>
        <v>0</v>
      </c>
      <c r="I40" s="122">
        <v>0</v>
      </c>
      <c r="J40" s="123">
        <f t="shared" si="49"/>
        <v>0</v>
      </c>
      <c r="K40" s="93">
        <f t="shared" si="50"/>
        <v>0</v>
      </c>
      <c r="L40" s="86">
        <v>1</v>
      </c>
      <c r="M40" s="87">
        <f t="shared" si="51"/>
        <v>0</v>
      </c>
      <c r="N40" s="93">
        <f t="shared" si="36"/>
        <v>0</v>
      </c>
      <c r="O40" s="233">
        <v>0</v>
      </c>
      <c r="P40" s="234">
        <f t="shared" si="52"/>
        <v>0</v>
      </c>
      <c r="Q40" s="233">
        <v>0</v>
      </c>
      <c r="R40" s="234">
        <f t="shared" si="53"/>
        <v>0</v>
      </c>
      <c r="S40" s="93">
        <f t="shared" si="39"/>
        <v>0</v>
      </c>
      <c r="T40" s="238">
        <v>0</v>
      </c>
      <c r="U40" s="239">
        <f t="shared" si="54"/>
        <v>0</v>
      </c>
      <c r="V40" s="238">
        <v>0</v>
      </c>
      <c r="W40" s="239">
        <f t="shared" si="45"/>
        <v>0</v>
      </c>
      <c r="X40" s="242">
        <f t="shared" si="41"/>
        <v>0</v>
      </c>
      <c r="Y40" s="88">
        <v>0</v>
      </c>
      <c r="Z40" s="89">
        <f t="shared" si="28"/>
        <v>0</v>
      </c>
      <c r="AA40" s="93">
        <f t="shared" si="42"/>
        <v>0</v>
      </c>
      <c r="AB40" s="81">
        <f t="shared" si="43"/>
        <v>0</v>
      </c>
      <c r="AC40" s="82">
        <f t="shared" si="44"/>
        <v>1</v>
      </c>
      <c r="AD40" s="159">
        <f t="shared" si="29"/>
        <v>0</v>
      </c>
    </row>
    <row r="41" spans="1:30" x14ac:dyDescent="0.25">
      <c r="A41" s="46" t="s">
        <v>264</v>
      </c>
      <c r="B41" s="90">
        <v>103616</v>
      </c>
      <c r="C41" s="91">
        <v>0</v>
      </c>
      <c r="D41" s="85">
        <f t="shared" ref="D41" si="99">+B41*C41</f>
        <v>0</v>
      </c>
      <c r="E41" s="122">
        <v>0</v>
      </c>
      <c r="F41" s="123">
        <f t="shared" ref="F41" si="100">+B41*E41</f>
        <v>0</v>
      </c>
      <c r="G41" s="122">
        <v>0</v>
      </c>
      <c r="H41" s="123">
        <f t="shared" ref="H41" si="101">+B41*G41</f>
        <v>0</v>
      </c>
      <c r="I41" s="122">
        <v>0</v>
      </c>
      <c r="J41" s="123">
        <f t="shared" ref="J41" si="102">+B41*I41</f>
        <v>0</v>
      </c>
      <c r="K41" s="93">
        <f t="shared" ref="K41" si="103">+F41+H41+J41</f>
        <v>0</v>
      </c>
      <c r="L41" s="86">
        <v>1</v>
      </c>
      <c r="M41" s="87">
        <f t="shared" ref="M41" si="104">+L41*B41</f>
        <v>103616</v>
      </c>
      <c r="N41" s="93">
        <f t="shared" si="36"/>
        <v>103616</v>
      </c>
      <c r="O41" s="233">
        <v>0</v>
      </c>
      <c r="P41" s="234">
        <f t="shared" ref="P41" si="105">+O41*B41</f>
        <v>0</v>
      </c>
      <c r="Q41" s="233">
        <v>0</v>
      </c>
      <c r="R41" s="234">
        <f t="shared" ref="R41" si="106">+Q41*B41</f>
        <v>0</v>
      </c>
      <c r="S41" s="93">
        <f t="shared" si="39"/>
        <v>0</v>
      </c>
      <c r="T41" s="238">
        <v>0</v>
      </c>
      <c r="U41" s="239">
        <f t="shared" ref="U41" si="107">+T41*B41</f>
        <v>0</v>
      </c>
      <c r="V41" s="238">
        <v>0</v>
      </c>
      <c r="W41" s="239">
        <f t="shared" ref="W41" si="108">+V41*B41</f>
        <v>0</v>
      </c>
      <c r="X41" s="242">
        <f t="shared" si="41"/>
        <v>0</v>
      </c>
      <c r="Y41" s="88">
        <v>0</v>
      </c>
      <c r="Z41" s="89">
        <f t="shared" ref="Z41" si="109">+Y41*B41</f>
        <v>0</v>
      </c>
      <c r="AA41" s="93">
        <f t="shared" si="42"/>
        <v>0</v>
      </c>
      <c r="AB41" s="81">
        <f t="shared" si="43"/>
        <v>0</v>
      </c>
      <c r="AC41" s="82">
        <f t="shared" ref="AC41" si="110">+C41+E41+G41+I41+L41+O41+Q41+T41+V41+Y41</f>
        <v>1</v>
      </c>
      <c r="AD41" s="159">
        <f t="shared" ref="AD41" si="111">+AA41+S41+K41</f>
        <v>0</v>
      </c>
    </row>
    <row r="42" spans="1:30" x14ac:dyDescent="0.25">
      <c r="A42" s="46" t="s">
        <v>232</v>
      </c>
      <c r="B42" s="90"/>
      <c r="C42" s="91">
        <v>0</v>
      </c>
      <c r="D42" s="85">
        <f t="shared" si="46"/>
        <v>0</v>
      </c>
      <c r="E42" s="122">
        <v>0</v>
      </c>
      <c r="F42" s="123">
        <f t="shared" si="47"/>
        <v>0</v>
      </c>
      <c r="G42" s="122">
        <v>0</v>
      </c>
      <c r="H42" s="123">
        <f t="shared" si="48"/>
        <v>0</v>
      </c>
      <c r="I42" s="122">
        <v>0</v>
      </c>
      <c r="J42" s="123">
        <f t="shared" si="49"/>
        <v>0</v>
      </c>
      <c r="K42" s="93">
        <f t="shared" si="50"/>
        <v>0</v>
      </c>
      <c r="L42" s="86">
        <v>0</v>
      </c>
      <c r="M42" s="87">
        <f t="shared" si="51"/>
        <v>0</v>
      </c>
      <c r="N42" s="93">
        <f t="shared" si="36"/>
        <v>0</v>
      </c>
      <c r="O42" s="233">
        <v>0</v>
      </c>
      <c r="P42" s="234">
        <f t="shared" si="52"/>
        <v>0</v>
      </c>
      <c r="Q42" s="233">
        <v>0</v>
      </c>
      <c r="R42" s="234">
        <f t="shared" si="53"/>
        <v>0</v>
      </c>
      <c r="S42" s="93">
        <f t="shared" si="39"/>
        <v>0</v>
      </c>
      <c r="T42" s="238">
        <v>0</v>
      </c>
      <c r="U42" s="239">
        <f t="shared" si="54"/>
        <v>0</v>
      </c>
      <c r="V42" s="238">
        <v>0.5</v>
      </c>
      <c r="W42" s="239">
        <f t="shared" si="45"/>
        <v>0</v>
      </c>
      <c r="X42" s="242">
        <f t="shared" si="41"/>
        <v>0</v>
      </c>
      <c r="Y42" s="88">
        <v>0.5</v>
      </c>
      <c r="Z42" s="89">
        <f t="shared" si="28"/>
        <v>0</v>
      </c>
      <c r="AA42" s="93">
        <f t="shared" si="42"/>
        <v>0</v>
      </c>
      <c r="AB42" s="81">
        <f t="shared" si="43"/>
        <v>0</v>
      </c>
      <c r="AC42" s="82">
        <f t="shared" si="44"/>
        <v>1</v>
      </c>
      <c r="AD42" s="159">
        <f t="shared" si="29"/>
        <v>0</v>
      </c>
    </row>
    <row r="43" spans="1:30" x14ac:dyDescent="0.25">
      <c r="A43" s="46" t="s">
        <v>70</v>
      </c>
      <c r="B43" s="90"/>
      <c r="C43" s="91">
        <v>0.1</v>
      </c>
      <c r="D43" s="85">
        <f t="shared" si="46"/>
        <v>0</v>
      </c>
      <c r="E43" s="122">
        <v>0</v>
      </c>
      <c r="F43" s="123">
        <f t="shared" si="47"/>
        <v>0</v>
      </c>
      <c r="G43" s="122">
        <v>0</v>
      </c>
      <c r="H43" s="123">
        <f t="shared" si="48"/>
        <v>0</v>
      </c>
      <c r="I43" s="122">
        <v>0</v>
      </c>
      <c r="J43" s="123">
        <f t="shared" si="49"/>
        <v>0</v>
      </c>
      <c r="K43" s="93">
        <f t="shared" si="50"/>
        <v>0</v>
      </c>
      <c r="L43" s="86">
        <v>0.01</v>
      </c>
      <c r="M43" s="87">
        <f t="shared" si="51"/>
        <v>0</v>
      </c>
      <c r="N43" s="93">
        <f t="shared" si="36"/>
        <v>0</v>
      </c>
      <c r="O43" s="233">
        <v>0.1</v>
      </c>
      <c r="P43" s="234">
        <f t="shared" si="52"/>
        <v>0</v>
      </c>
      <c r="Q43" s="233">
        <v>0.2</v>
      </c>
      <c r="R43" s="234">
        <f t="shared" si="53"/>
        <v>0</v>
      </c>
      <c r="S43" s="93">
        <f t="shared" si="39"/>
        <v>0</v>
      </c>
      <c r="T43" s="238">
        <v>0.1</v>
      </c>
      <c r="U43" s="239">
        <f t="shared" si="54"/>
        <v>0</v>
      </c>
      <c r="V43" s="238">
        <v>0.49</v>
      </c>
      <c r="W43" s="239">
        <f t="shared" si="45"/>
        <v>0</v>
      </c>
      <c r="X43" s="242">
        <f t="shared" si="41"/>
        <v>0</v>
      </c>
      <c r="Y43" s="88">
        <v>0</v>
      </c>
      <c r="Z43" s="89">
        <f t="shared" si="28"/>
        <v>0</v>
      </c>
      <c r="AA43" s="93">
        <f t="shared" si="42"/>
        <v>0</v>
      </c>
      <c r="AB43" s="81">
        <f t="shared" si="43"/>
        <v>0</v>
      </c>
      <c r="AC43" s="82">
        <f t="shared" si="44"/>
        <v>1</v>
      </c>
      <c r="AD43" s="159">
        <f t="shared" si="29"/>
        <v>0</v>
      </c>
    </row>
    <row r="44" spans="1:30" x14ac:dyDescent="0.25">
      <c r="A44" s="46" t="s">
        <v>181</v>
      </c>
      <c r="B44" s="92">
        <f>SUM(B15:B43)</f>
        <v>11115173</v>
      </c>
      <c r="C44" s="44"/>
      <c r="D44" s="93">
        <f>SUM(D15:D43)</f>
        <v>1026395.3999999999</v>
      </c>
      <c r="E44" s="124"/>
      <c r="F44" s="125">
        <f>SUM(F15:F43)</f>
        <v>89138.8</v>
      </c>
      <c r="G44" s="124"/>
      <c r="H44" s="125">
        <f>SUM(H15:H43)</f>
        <v>887172.9</v>
      </c>
      <c r="I44" s="124"/>
      <c r="J44" s="125">
        <f>SUM(J15:J43)</f>
        <v>158942.29999999999</v>
      </c>
      <c r="K44" s="93">
        <f>+J44+H44+F44</f>
        <v>1135254</v>
      </c>
      <c r="L44" s="44"/>
      <c r="M44" s="95">
        <f>SUM(M15:M43)</f>
        <v>130056.64</v>
      </c>
      <c r="N44" s="93">
        <f t="shared" si="36"/>
        <v>130056.64</v>
      </c>
      <c r="O44" s="235"/>
      <c r="P44" s="236">
        <f>SUM(P15:P43)</f>
        <v>801744.95</v>
      </c>
      <c r="Q44" s="235"/>
      <c r="R44" s="236">
        <f>SUM(R15:R43)</f>
        <v>809777.25</v>
      </c>
      <c r="S44" s="93">
        <f>SUM(S15:S43)</f>
        <v>1611522.2</v>
      </c>
      <c r="T44" s="240"/>
      <c r="U44" s="241">
        <f>SUM(U15:U43)</f>
        <v>573671.72</v>
      </c>
      <c r="V44" s="240"/>
      <c r="W44" s="241">
        <f>SUM(W15:W43)</f>
        <v>5460170.2199999997</v>
      </c>
      <c r="X44" s="93">
        <f>SUM(X15:X43)</f>
        <v>6033841.9399999995</v>
      </c>
      <c r="Y44" s="79"/>
      <c r="Z44" s="94">
        <f>SUM(Z15:Z43)</f>
        <v>1178102.8199999998</v>
      </c>
      <c r="AA44" s="93">
        <f t="shared" si="42"/>
        <v>1178102.8199999998</v>
      </c>
      <c r="AB44" s="81">
        <f t="shared" si="43"/>
        <v>0</v>
      </c>
      <c r="AC44" s="82">
        <f t="shared" si="44"/>
        <v>0</v>
      </c>
      <c r="AD44" s="159">
        <f>SUM(AD15:AD43)</f>
        <v>3924879.02</v>
      </c>
    </row>
    <row r="47" spans="1:30" ht="30" x14ac:dyDescent="0.25">
      <c r="A47" s="71" t="s">
        <v>199</v>
      </c>
      <c r="B47" s="84" t="s">
        <v>180</v>
      </c>
      <c r="C47" s="74" t="s">
        <v>159</v>
      </c>
      <c r="D47" s="71" t="s">
        <v>176</v>
      </c>
      <c r="E47" s="106" t="s">
        <v>200</v>
      </c>
      <c r="F47" s="108" t="s">
        <v>176</v>
      </c>
      <c r="G47" s="80" t="s">
        <v>201</v>
      </c>
      <c r="H47" s="80" t="s">
        <v>202</v>
      </c>
      <c r="I47" s="99"/>
      <c r="J47" s="99"/>
      <c r="K47" s="99"/>
      <c r="L47" s="99"/>
      <c r="M47" s="99"/>
      <c r="N47" s="99"/>
      <c r="O47" s="99"/>
      <c r="P47" s="99"/>
      <c r="Q47" s="100"/>
      <c r="R47" s="100"/>
      <c r="S47" s="100"/>
      <c r="T47" s="99"/>
      <c r="U47" s="99"/>
      <c r="V47" s="100"/>
      <c r="W47" s="100"/>
      <c r="X47" s="100"/>
      <c r="Y47" s="100"/>
      <c r="Z47" s="100"/>
      <c r="AA47" s="100"/>
      <c r="AB47" s="101"/>
      <c r="AC47" s="101"/>
    </row>
    <row r="48" spans="1:30" x14ac:dyDescent="0.25">
      <c r="A48" s="46" t="s">
        <v>204</v>
      </c>
      <c r="B48" s="90">
        <v>0</v>
      </c>
      <c r="C48" s="91">
        <v>0.5</v>
      </c>
      <c r="D48" s="85">
        <f>+B48*C48</f>
        <v>0</v>
      </c>
      <c r="E48" s="107">
        <v>0.5</v>
      </c>
      <c r="F48" s="109">
        <f>+E48*B48</f>
        <v>0</v>
      </c>
      <c r="G48" s="110">
        <f>+C48+E48</f>
        <v>1</v>
      </c>
      <c r="H48" s="109">
        <f>+(F48+D48)-B48</f>
        <v>0</v>
      </c>
      <c r="I48" s="103"/>
      <c r="J48" s="102"/>
      <c r="K48" s="102"/>
      <c r="L48" s="103"/>
      <c r="M48" s="102"/>
      <c r="N48" s="102"/>
      <c r="O48" s="103"/>
      <c r="P48" s="102"/>
      <c r="Q48" s="103"/>
      <c r="R48" s="102"/>
      <c r="S48" s="102"/>
      <c r="T48" s="103"/>
      <c r="U48" s="102"/>
      <c r="V48" s="103"/>
      <c r="W48" s="102"/>
      <c r="X48" s="102"/>
      <c r="Y48" s="103"/>
      <c r="Z48" s="102"/>
      <c r="AA48" s="104"/>
      <c r="AB48" s="104"/>
      <c r="AC48" s="105"/>
    </row>
    <row r="49" spans="1:29" x14ac:dyDescent="0.25">
      <c r="A49" s="46" t="s">
        <v>205</v>
      </c>
      <c r="B49" s="90">
        <v>0</v>
      </c>
      <c r="C49" s="91">
        <v>0.5</v>
      </c>
      <c r="D49" s="85">
        <f t="shared" ref="D49:D55" si="112">+B49*C49</f>
        <v>0</v>
      </c>
      <c r="E49" s="107">
        <v>0.5</v>
      </c>
      <c r="F49" s="109">
        <v>0</v>
      </c>
      <c r="G49" s="110">
        <f t="shared" ref="G49:G56" si="113">+C49+E49</f>
        <v>1</v>
      </c>
      <c r="H49" s="109">
        <f t="shared" ref="H49:H56" si="114">+(F49+D49)-B49</f>
        <v>0</v>
      </c>
      <c r="I49" s="103"/>
      <c r="J49" s="102"/>
      <c r="K49" s="102"/>
      <c r="L49" s="103"/>
      <c r="M49" s="102"/>
      <c r="N49" s="102"/>
      <c r="O49" s="103"/>
      <c r="P49" s="102"/>
      <c r="Q49" s="103"/>
      <c r="R49" s="102"/>
      <c r="S49" s="102"/>
      <c r="T49" s="103"/>
      <c r="U49" s="102"/>
      <c r="V49" s="103"/>
      <c r="W49" s="102"/>
      <c r="X49" s="102"/>
      <c r="Y49" s="103"/>
      <c r="Z49" s="102"/>
      <c r="AA49" s="104"/>
      <c r="AB49" s="104"/>
      <c r="AC49" s="105"/>
    </row>
    <row r="50" spans="1:29" x14ac:dyDescent="0.25">
      <c r="A50" s="46" t="s">
        <v>206</v>
      </c>
      <c r="B50" s="90">
        <v>0</v>
      </c>
      <c r="C50" s="91">
        <v>0.5</v>
      </c>
      <c r="D50" s="85">
        <f t="shared" si="112"/>
        <v>0</v>
      </c>
      <c r="E50" s="107">
        <v>0.5</v>
      </c>
      <c r="F50" s="109">
        <v>0</v>
      </c>
      <c r="G50" s="110">
        <f t="shared" si="113"/>
        <v>1</v>
      </c>
      <c r="H50" s="109">
        <f t="shared" si="114"/>
        <v>0</v>
      </c>
      <c r="I50" s="103"/>
      <c r="J50" s="102"/>
      <c r="K50" s="102"/>
      <c r="L50" s="103"/>
      <c r="M50" s="102"/>
      <c r="N50" s="102"/>
      <c r="O50" s="103"/>
      <c r="P50" s="102"/>
      <c r="Q50" s="103"/>
      <c r="R50" s="102"/>
      <c r="S50" s="102"/>
      <c r="T50" s="103"/>
      <c r="U50" s="102"/>
      <c r="V50" s="103"/>
      <c r="W50" s="102"/>
      <c r="X50" s="102"/>
      <c r="Y50" s="103"/>
      <c r="Z50" s="102"/>
      <c r="AA50" s="104"/>
      <c r="AB50" s="104"/>
      <c r="AC50" s="105"/>
    </row>
    <row r="51" spans="1:29" x14ac:dyDescent="0.25">
      <c r="A51" s="46" t="s">
        <v>209</v>
      </c>
      <c r="B51" s="90">
        <v>0</v>
      </c>
      <c r="C51" s="91">
        <v>0.5</v>
      </c>
      <c r="D51" s="85">
        <f t="shared" si="112"/>
        <v>0</v>
      </c>
      <c r="E51" s="107">
        <v>0.5</v>
      </c>
      <c r="F51" s="109">
        <v>0</v>
      </c>
      <c r="G51" s="110">
        <f t="shared" si="113"/>
        <v>1</v>
      </c>
      <c r="H51" s="109">
        <f t="shared" si="114"/>
        <v>0</v>
      </c>
      <c r="I51" s="103"/>
      <c r="J51" s="102"/>
      <c r="K51" s="102"/>
      <c r="L51" s="103"/>
      <c r="M51" s="102"/>
      <c r="N51" s="102"/>
      <c r="O51" s="103"/>
      <c r="P51" s="102"/>
      <c r="Q51" s="103"/>
      <c r="R51" s="102"/>
      <c r="S51" s="102"/>
      <c r="T51" s="103"/>
      <c r="U51" s="102"/>
      <c r="V51" s="103"/>
      <c r="W51" s="102"/>
      <c r="X51" s="102"/>
      <c r="Y51" s="103"/>
      <c r="Z51" s="102"/>
      <c r="AA51" s="104"/>
      <c r="AB51" s="104"/>
      <c r="AC51" s="105"/>
    </row>
    <row r="52" spans="1:29" x14ac:dyDescent="0.25">
      <c r="A52" s="46" t="s">
        <v>210</v>
      </c>
      <c r="B52" s="90">
        <v>0</v>
      </c>
      <c r="C52" s="91">
        <v>0.5</v>
      </c>
      <c r="D52" s="85">
        <f t="shared" si="112"/>
        <v>0</v>
      </c>
      <c r="E52" s="107">
        <v>0.5</v>
      </c>
      <c r="F52" s="109">
        <v>0</v>
      </c>
      <c r="G52" s="110">
        <f t="shared" si="113"/>
        <v>1</v>
      </c>
      <c r="H52" s="109">
        <f t="shared" si="114"/>
        <v>0</v>
      </c>
      <c r="I52" s="103"/>
      <c r="J52" s="102"/>
      <c r="K52" s="102"/>
      <c r="L52" s="103"/>
      <c r="M52" s="102"/>
      <c r="N52" s="102"/>
      <c r="O52" s="103"/>
      <c r="P52" s="102"/>
      <c r="Q52" s="103"/>
      <c r="R52" s="102"/>
      <c r="S52" s="102"/>
      <c r="T52" s="103"/>
      <c r="U52" s="102"/>
      <c r="V52" s="103"/>
      <c r="W52" s="102"/>
      <c r="X52" s="102"/>
      <c r="Y52" s="103"/>
      <c r="Z52" s="102"/>
      <c r="AA52" s="104"/>
      <c r="AB52" s="104"/>
      <c r="AC52" s="105"/>
    </row>
    <row r="53" spans="1:29" x14ac:dyDescent="0.25">
      <c r="A53" s="46" t="s">
        <v>207</v>
      </c>
      <c r="B53" s="90">
        <v>91429</v>
      </c>
      <c r="C53" s="91">
        <v>0.5</v>
      </c>
      <c r="D53" s="85">
        <f t="shared" si="112"/>
        <v>45714.5</v>
      </c>
      <c r="E53" s="107">
        <v>0.5</v>
      </c>
      <c r="F53" s="109">
        <f t="shared" ref="F53:F54" si="115">+E53*B53</f>
        <v>45714.5</v>
      </c>
      <c r="G53" s="110">
        <f t="shared" si="113"/>
        <v>1</v>
      </c>
      <c r="H53" s="109">
        <f t="shared" si="114"/>
        <v>0</v>
      </c>
      <c r="I53" s="103"/>
      <c r="J53" s="102"/>
      <c r="K53" s="102"/>
      <c r="L53" s="103"/>
      <c r="M53" s="102"/>
      <c r="N53" s="102"/>
      <c r="O53" s="103"/>
      <c r="P53" s="102"/>
      <c r="Q53" s="103"/>
      <c r="R53" s="102"/>
      <c r="S53" s="102"/>
      <c r="T53" s="103"/>
      <c r="U53" s="102"/>
      <c r="V53" s="103"/>
      <c r="W53" s="102"/>
      <c r="X53" s="102"/>
      <c r="Y53" s="103"/>
      <c r="Z53" s="102"/>
      <c r="AA53" s="104"/>
      <c r="AB53" s="104"/>
      <c r="AC53" s="105"/>
    </row>
    <row r="54" spans="1:29" x14ac:dyDescent="0.25">
      <c r="A54" s="46" t="s">
        <v>208</v>
      </c>
      <c r="B54" s="90">
        <v>0</v>
      </c>
      <c r="C54" s="91">
        <v>0.5</v>
      </c>
      <c r="D54" s="85">
        <f t="shared" si="112"/>
        <v>0</v>
      </c>
      <c r="E54" s="107">
        <v>0.5</v>
      </c>
      <c r="F54" s="109">
        <f t="shared" si="115"/>
        <v>0</v>
      </c>
      <c r="G54" s="110">
        <f t="shared" si="113"/>
        <v>1</v>
      </c>
      <c r="H54" s="109">
        <f t="shared" si="114"/>
        <v>0</v>
      </c>
      <c r="I54" s="103"/>
      <c r="J54" s="102"/>
      <c r="K54" s="102"/>
      <c r="L54" s="103"/>
      <c r="M54" s="102"/>
      <c r="N54" s="102"/>
      <c r="O54" s="103"/>
      <c r="P54" s="102"/>
      <c r="Q54" s="103"/>
      <c r="R54" s="102"/>
      <c r="S54" s="102"/>
      <c r="T54" s="103"/>
      <c r="U54" s="102"/>
      <c r="V54" s="103"/>
      <c r="W54" s="102"/>
      <c r="X54" s="102"/>
      <c r="Y54" s="103"/>
      <c r="Z54" s="102"/>
      <c r="AA54" s="104"/>
      <c r="AB54" s="104"/>
      <c r="AC54" s="105"/>
    </row>
    <row r="55" spans="1:29" x14ac:dyDescent="0.25">
      <c r="A55" s="46" t="s">
        <v>70</v>
      </c>
      <c r="B55" s="90">
        <v>0</v>
      </c>
      <c r="C55" s="91">
        <v>0.5</v>
      </c>
      <c r="D55" s="85">
        <f t="shared" si="112"/>
        <v>0</v>
      </c>
      <c r="E55" s="107">
        <v>0.5</v>
      </c>
      <c r="F55" s="109">
        <v>0</v>
      </c>
      <c r="G55" s="110">
        <f t="shared" si="113"/>
        <v>1</v>
      </c>
      <c r="H55" s="109">
        <f t="shared" si="114"/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29" x14ac:dyDescent="0.25">
      <c r="A56" s="115" t="s">
        <v>203</v>
      </c>
      <c r="B56" s="111">
        <f>SUM(B48:B55)</f>
        <v>91429</v>
      </c>
      <c r="C56" s="91"/>
      <c r="D56" s="93">
        <f>SUM(D48:D55)</f>
        <v>45714.5</v>
      </c>
      <c r="E56" s="107"/>
      <c r="F56" s="112">
        <f>SUM(F48:F55)</f>
        <v>45714.5</v>
      </c>
      <c r="G56" s="110">
        <f t="shared" si="113"/>
        <v>0</v>
      </c>
      <c r="H56" s="109">
        <f t="shared" si="114"/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8" spans="1:29" x14ac:dyDescent="0.25">
      <c r="A58" s="116" t="s">
        <v>211</v>
      </c>
      <c r="B58" s="117">
        <f>+B11+B44+B56</f>
        <v>25279354</v>
      </c>
    </row>
    <row r="60" spans="1:29" x14ac:dyDescent="0.25">
      <c r="A60" s="51" t="s">
        <v>10</v>
      </c>
      <c r="B60" s="52">
        <f>+D11+D44</f>
        <v>3372161.4</v>
      </c>
    </row>
    <row r="61" spans="1:29" x14ac:dyDescent="0.25">
      <c r="A61" s="51" t="s">
        <v>228</v>
      </c>
      <c r="B61" s="52">
        <f>+B56+K11+K44</f>
        <v>8696545.4000000004</v>
      </c>
    </row>
    <row r="62" spans="1:29" x14ac:dyDescent="0.25">
      <c r="A62" s="51" t="s">
        <v>227</v>
      </c>
      <c r="B62" s="52">
        <f>+S11+S44</f>
        <v>2414638.2000000002</v>
      </c>
    </row>
    <row r="63" spans="1:29" x14ac:dyDescent="0.25">
      <c r="A63" s="51" t="s">
        <v>212</v>
      </c>
      <c r="B63" s="52">
        <f>+AA11+AA44</f>
        <v>2162516.8199999998</v>
      </c>
    </row>
    <row r="64" spans="1:29" x14ac:dyDescent="0.25">
      <c r="A64" s="116" t="s">
        <v>211</v>
      </c>
      <c r="B64" s="117">
        <f>SUM(B60:B63)</f>
        <v>16645861.82</v>
      </c>
    </row>
    <row r="65" spans="1:2" hidden="1" x14ac:dyDescent="0.25">
      <c r="A65" s="113" t="s">
        <v>196</v>
      </c>
      <c r="B65" s="114">
        <f>+B58-B64</f>
        <v>8633492.1799999997</v>
      </c>
    </row>
  </sheetData>
  <mergeCells count="12">
    <mergeCell ref="AB2:AC2"/>
    <mergeCell ref="E2:K2"/>
    <mergeCell ref="L2:S2"/>
    <mergeCell ref="A1:W1"/>
    <mergeCell ref="C2:D2"/>
    <mergeCell ref="A2:B2"/>
    <mergeCell ref="T2:AA2"/>
    <mergeCell ref="E3:F3"/>
    <mergeCell ref="G3:H3"/>
    <mergeCell ref="I3:J3"/>
    <mergeCell ref="L3:M3"/>
    <mergeCell ref="O3:P3"/>
  </mergeCells>
  <pageMargins left="0.7" right="0.7" top="0.75" bottom="0.75" header="0.3" footer="0.3"/>
  <pageSetup orientation="portrait" horizontalDpi="4294967292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330E33-E0DE-46F0-8D65-B344D49C3AC7}">
  <dimension ref="A1:AD68"/>
  <sheetViews>
    <sheetView topLeftCell="A15" workbookViewId="0">
      <selection activeCell="X45" sqref="X45"/>
    </sheetView>
  </sheetViews>
  <sheetFormatPr baseColWidth="10" defaultRowHeight="15" x14ac:dyDescent="0.25"/>
  <cols>
    <col min="1" max="1" width="40.42578125" customWidth="1"/>
    <col min="2" max="2" width="16.5703125" customWidth="1"/>
    <col min="3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3" width="9.85546875" customWidth="1"/>
    <col min="14" max="14" width="12.14062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1" max="21" width="11.5703125" customWidth="1"/>
    <col min="22" max="22" width="13.7109375" customWidth="1"/>
    <col min="24" max="24" width="13.7109375" customWidth="1"/>
    <col min="25" max="25" width="12.85546875" customWidth="1"/>
    <col min="26" max="26" width="12.28515625" customWidth="1"/>
    <col min="27" max="27" width="15.140625" customWidth="1"/>
  </cols>
  <sheetData>
    <row r="1" spans="1:30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0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0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43" t="s">
        <v>96</v>
      </c>
      <c r="P3" s="344"/>
      <c r="Q3" s="243" t="s">
        <v>97</v>
      </c>
      <c r="R3" s="243"/>
      <c r="S3" s="69" t="s">
        <v>298</v>
      </c>
      <c r="T3" s="244" t="s">
        <v>98</v>
      </c>
      <c r="U3" s="244"/>
      <c r="V3" s="244" t="s">
        <v>99</v>
      </c>
      <c r="W3" s="244"/>
      <c r="X3" s="69" t="s">
        <v>297</v>
      </c>
      <c r="Y3" s="72" t="s">
        <v>100</v>
      </c>
      <c r="Z3" s="72"/>
      <c r="AA3" s="69" t="s">
        <v>226</v>
      </c>
      <c r="AB3" s="97"/>
      <c r="AC3" s="97"/>
    </row>
    <row r="4" spans="1:30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300</v>
      </c>
      <c r="O4" s="231" t="s">
        <v>162</v>
      </c>
      <c r="P4" s="231" t="s">
        <v>176</v>
      </c>
      <c r="Q4" s="232" t="s">
        <v>163</v>
      </c>
      <c r="R4" s="232" t="s">
        <v>176</v>
      </c>
      <c r="S4" s="71" t="s">
        <v>171</v>
      </c>
      <c r="T4" s="237" t="s">
        <v>164</v>
      </c>
      <c r="U4" s="237" t="s">
        <v>176</v>
      </c>
      <c r="V4" s="158" t="s">
        <v>165</v>
      </c>
      <c r="W4" s="158" t="s">
        <v>176</v>
      </c>
      <c r="X4" s="71" t="s">
        <v>299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0" x14ac:dyDescent="0.25">
      <c r="A5" s="46" t="s">
        <v>67</v>
      </c>
      <c r="B5" s="90">
        <f>+' NOMINAS ENE-DIC'!I30+' NOMINAS ENE-DIC'!I40</f>
        <v>4555560</v>
      </c>
      <c r="C5" s="91">
        <f>+'%'!B4</f>
        <v>0.35</v>
      </c>
      <c r="D5" s="93">
        <f t="shared" ref="D5:D11" si="0">+B5*C5</f>
        <v>1594446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45555.6</v>
      </c>
      <c r="N5" s="93">
        <f>+M5</f>
        <v>45555.6</v>
      </c>
      <c r="O5" s="233">
        <f>+'%'!G4</f>
        <v>0.02</v>
      </c>
      <c r="P5" s="234">
        <f t="shared" ref="P5:P11" si="6">+O5*B5</f>
        <v>91111.2</v>
      </c>
      <c r="Q5" s="233">
        <f>+'%'!H4</f>
        <v>0.05</v>
      </c>
      <c r="R5" s="234">
        <f t="shared" ref="R5:R11" si="7">+Q5*B5</f>
        <v>227778</v>
      </c>
      <c r="S5" s="93">
        <f>+P5+R5</f>
        <v>318889.2</v>
      </c>
      <c r="T5" s="238">
        <f>+'%'!I4</f>
        <v>0.2</v>
      </c>
      <c r="U5" s="239">
        <f t="shared" ref="U5:U11" si="8">+T5*B5</f>
        <v>911112</v>
      </c>
      <c r="V5" s="238">
        <f>+'%'!J4</f>
        <v>0.27</v>
      </c>
      <c r="W5" s="239">
        <f t="shared" ref="W5:W11" si="9">+V5*B5</f>
        <v>1230001.2000000002</v>
      </c>
      <c r="X5" s="93">
        <f>+U5+W5</f>
        <v>2141113.2000000002</v>
      </c>
      <c r="Y5" s="88">
        <f>+'%'!K4</f>
        <v>0.1</v>
      </c>
      <c r="Z5" s="89">
        <f t="shared" ref="Z5:Z11" si="10">+Y5*B5</f>
        <v>455556</v>
      </c>
      <c r="AA5" s="93">
        <f>+Z5</f>
        <v>455556</v>
      </c>
      <c r="AB5" s="81">
        <f>+(D5+K5+N5+S5+X5+AA5)-B5</f>
        <v>0</v>
      </c>
      <c r="AC5" s="82">
        <f t="shared" ref="AC5:AC12" si="11">+C5+E5+G5+I5+L5+O5+Q5+T5+V5+Y5</f>
        <v>1</v>
      </c>
    </row>
    <row r="6" spans="1:30" x14ac:dyDescent="0.25">
      <c r="A6" s="46" t="s">
        <v>74</v>
      </c>
      <c r="B6" s="90">
        <f>+' NOMINAS ENE-DIC'!I32+' NOMINAS ENE-DIC'!I42</f>
        <v>3227649.2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1291059.6800000002</v>
      </c>
      <c r="G6" s="122">
        <f>+'%'!D5</f>
        <v>0.6</v>
      </c>
      <c r="H6" s="123">
        <f t="shared" si="2"/>
        <v>1936589.52</v>
      </c>
      <c r="I6" s="122">
        <f>+'%'!E5</f>
        <v>0</v>
      </c>
      <c r="J6" s="123">
        <f t="shared" si="3"/>
        <v>0</v>
      </c>
      <c r="K6" s="93">
        <f t="shared" si="4"/>
        <v>3227649.2</v>
      </c>
      <c r="L6" s="86">
        <f>+'%'!F5</f>
        <v>0</v>
      </c>
      <c r="M6" s="87">
        <f t="shared" si="5"/>
        <v>0</v>
      </c>
      <c r="N6" s="93">
        <f t="shared" ref="N6:N12" si="12">+M6</f>
        <v>0</v>
      </c>
      <c r="O6" s="233">
        <f>+'%'!G5</f>
        <v>0</v>
      </c>
      <c r="P6" s="234">
        <f t="shared" si="6"/>
        <v>0</v>
      </c>
      <c r="Q6" s="233">
        <f>+'%'!H5</f>
        <v>0</v>
      </c>
      <c r="R6" s="234">
        <f t="shared" si="7"/>
        <v>0</v>
      </c>
      <c r="S6" s="93">
        <f t="shared" ref="S6:S12" si="13">+P6+R6</f>
        <v>0</v>
      </c>
      <c r="T6" s="238">
        <f>+'%'!I5</f>
        <v>0</v>
      </c>
      <c r="U6" s="239">
        <f t="shared" si="8"/>
        <v>0</v>
      </c>
      <c r="V6" s="238">
        <f>+'%'!J5</f>
        <v>0</v>
      </c>
      <c r="W6" s="239">
        <f t="shared" si="9"/>
        <v>0</v>
      </c>
      <c r="X6" s="93">
        <f t="shared" ref="X6:X12" si="14">+U6+W6</f>
        <v>0</v>
      </c>
      <c r="Y6" s="88">
        <f>+'%'!K5</f>
        <v>0</v>
      </c>
      <c r="Z6" s="89">
        <f t="shared" si="10"/>
        <v>0</v>
      </c>
      <c r="AA6" s="93">
        <f t="shared" ref="AA6:AA12" si="15">+Z6</f>
        <v>0</v>
      </c>
      <c r="AB6" s="81">
        <f t="shared" ref="AB6:AB12" si="16">+(D6+K6+N6+S6+X6+AA6)-B6</f>
        <v>0</v>
      </c>
      <c r="AC6" s="82">
        <f t="shared" si="11"/>
        <v>1</v>
      </c>
    </row>
    <row r="7" spans="1:30" x14ac:dyDescent="0.25">
      <c r="A7" s="46" t="s">
        <v>109</v>
      </c>
      <c r="B7" s="90">
        <f>+' NOMINAS ENE-DIC'!I29+' NOMINAS ENE-DIC'!I39</f>
        <v>3227649.2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806912.3</v>
      </c>
      <c r="G7" s="122">
        <f>+'%'!D7</f>
        <v>0.45</v>
      </c>
      <c r="H7" s="123">
        <f t="shared" si="2"/>
        <v>1452442.1400000001</v>
      </c>
      <c r="I7" s="122">
        <f>+'%'!E7</f>
        <v>0.2</v>
      </c>
      <c r="J7" s="123">
        <f t="shared" si="3"/>
        <v>645529.84000000008</v>
      </c>
      <c r="K7" s="93">
        <f t="shared" si="4"/>
        <v>2904884.2800000003</v>
      </c>
      <c r="L7" s="86">
        <f>+'%'!F7</f>
        <v>0</v>
      </c>
      <c r="M7" s="87">
        <f t="shared" si="5"/>
        <v>0</v>
      </c>
      <c r="N7" s="93">
        <f t="shared" si="12"/>
        <v>0</v>
      </c>
      <c r="O7" s="233">
        <f>+'%'!G7</f>
        <v>0</v>
      </c>
      <c r="P7" s="234">
        <f t="shared" si="6"/>
        <v>0</v>
      </c>
      <c r="Q7" s="233">
        <f>+'%'!H7</f>
        <v>0.05</v>
      </c>
      <c r="R7" s="234">
        <f t="shared" si="7"/>
        <v>161382.46000000002</v>
      </c>
      <c r="S7" s="93">
        <f t="shared" si="13"/>
        <v>161382.46000000002</v>
      </c>
      <c r="T7" s="238">
        <f>+'%'!I7</f>
        <v>0</v>
      </c>
      <c r="U7" s="239">
        <v>0</v>
      </c>
      <c r="V7" s="238">
        <f>+'%'!J7</f>
        <v>0.05</v>
      </c>
      <c r="W7" s="239">
        <f t="shared" si="9"/>
        <v>161382.46000000002</v>
      </c>
      <c r="X7" s="93">
        <f t="shared" si="14"/>
        <v>161382.46000000002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</row>
    <row r="8" spans="1:30" x14ac:dyDescent="0.25">
      <c r="A8" s="46" t="s">
        <v>266</v>
      </c>
      <c r="B8" s="90">
        <f>+' NOMINAS ENE-DIC'!I31+' NOMINAS ENE-DIC'!I41+' NOMINAS ENE-DIC'!I45+' NOMINAS ENE-DIC'!I46</f>
        <v>2360415</v>
      </c>
      <c r="C8" s="91">
        <v>1</v>
      </c>
      <c r="D8" s="93">
        <f t="shared" si="0"/>
        <v>2360415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233">
        <v>0</v>
      </c>
      <c r="P8" s="234">
        <f t="shared" si="6"/>
        <v>0</v>
      </c>
      <c r="Q8" s="233">
        <v>0</v>
      </c>
      <c r="R8" s="234">
        <f t="shared" si="7"/>
        <v>0</v>
      </c>
      <c r="S8" s="93">
        <f t="shared" si="13"/>
        <v>0</v>
      </c>
      <c r="T8" s="238">
        <v>0</v>
      </c>
      <c r="U8" s="239">
        <v>0</v>
      </c>
      <c r="V8" s="238">
        <v>0</v>
      </c>
      <c r="W8" s="23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0" x14ac:dyDescent="0.25">
      <c r="A9" s="46" t="s">
        <v>184</v>
      </c>
      <c r="B9" s="90">
        <f>+' NOMINAS ENE-DIC'!B48</f>
        <v>4240000</v>
      </c>
      <c r="C9" s="91">
        <f>+'%'!B8</f>
        <v>0.2</v>
      </c>
      <c r="D9" s="93">
        <f t="shared" si="0"/>
        <v>848000</v>
      </c>
      <c r="E9" s="122">
        <f>+'%'!C8</f>
        <v>0.1</v>
      </c>
      <c r="F9" s="123">
        <f t="shared" si="1"/>
        <v>424000</v>
      </c>
      <c r="G9" s="122">
        <f>+'%'!D8</f>
        <v>0.3</v>
      </c>
      <c r="H9" s="123">
        <f t="shared" si="2"/>
        <v>1272000</v>
      </c>
      <c r="I9" s="122">
        <f>+'%'!E8</f>
        <v>0.1</v>
      </c>
      <c r="J9" s="123">
        <f t="shared" si="3"/>
        <v>424000</v>
      </c>
      <c r="K9" s="93">
        <f t="shared" si="4"/>
        <v>2120000</v>
      </c>
      <c r="L9" s="86">
        <f>+'%'!F8</f>
        <v>0</v>
      </c>
      <c r="M9" s="87">
        <f t="shared" si="5"/>
        <v>0</v>
      </c>
      <c r="N9" s="93">
        <f t="shared" si="12"/>
        <v>0</v>
      </c>
      <c r="O9" s="233">
        <v>0.02</v>
      </c>
      <c r="P9" s="234">
        <f t="shared" si="6"/>
        <v>84800</v>
      </c>
      <c r="Q9" s="233">
        <f>+'%'!H8</f>
        <v>0.05</v>
      </c>
      <c r="R9" s="234">
        <f t="shared" si="7"/>
        <v>212000</v>
      </c>
      <c r="S9" s="93">
        <f t="shared" si="13"/>
        <v>296800</v>
      </c>
      <c r="T9" s="238">
        <f>+'%'!I8</f>
        <v>0</v>
      </c>
      <c r="U9" s="239">
        <v>0</v>
      </c>
      <c r="V9" s="238">
        <f>+'%'!J8</f>
        <v>0.1</v>
      </c>
      <c r="W9" s="239">
        <f t="shared" si="9"/>
        <v>424000</v>
      </c>
      <c r="X9" s="93">
        <f t="shared" si="14"/>
        <v>424000</v>
      </c>
      <c r="Y9" s="88">
        <v>0.13</v>
      </c>
      <c r="Z9" s="89">
        <f t="shared" si="10"/>
        <v>551200</v>
      </c>
      <c r="AA9" s="93">
        <f t="shared" si="15"/>
        <v>551200</v>
      </c>
      <c r="AB9" s="81">
        <f t="shared" si="16"/>
        <v>0</v>
      </c>
      <c r="AC9" s="82">
        <f t="shared" si="11"/>
        <v>1</v>
      </c>
    </row>
    <row r="10" spans="1:30" x14ac:dyDescent="0.25">
      <c r="A10" s="46" t="s">
        <v>51</v>
      </c>
      <c r="B10" s="90">
        <f>+' NOMINAS ENE-DIC'!B49</f>
        <v>4900000</v>
      </c>
      <c r="C10" s="91">
        <f>+'%'!B8</f>
        <v>0.2</v>
      </c>
      <c r="D10" s="93">
        <f t="shared" si="0"/>
        <v>980000</v>
      </c>
      <c r="E10" s="122">
        <f>+'%'!C8</f>
        <v>0.1</v>
      </c>
      <c r="F10" s="123">
        <f t="shared" si="1"/>
        <v>490000</v>
      </c>
      <c r="G10" s="122">
        <f>+'%'!D8</f>
        <v>0.3</v>
      </c>
      <c r="H10" s="123">
        <f t="shared" si="2"/>
        <v>1470000</v>
      </c>
      <c r="I10" s="122">
        <f>+'%'!E8</f>
        <v>0.1</v>
      </c>
      <c r="J10" s="123">
        <f t="shared" si="3"/>
        <v>490000</v>
      </c>
      <c r="K10" s="93">
        <f t="shared" si="4"/>
        <v>2450000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233">
        <v>0.02</v>
      </c>
      <c r="P10" s="234">
        <f t="shared" si="6"/>
        <v>98000</v>
      </c>
      <c r="Q10" s="233">
        <f>+'%'!H8</f>
        <v>0.05</v>
      </c>
      <c r="R10" s="234">
        <f t="shared" si="7"/>
        <v>245000</v>
      </c>
      <c r="S10" s="93">
        <f t="shared" si="13"/>
        <v>343000</v>
      </c>
      <c r="T10" s="238">
        <f>+'%'!I8</f>
        <v>0</v>
      </c>
      <c r="U10" s="239">
        <f t="shared" si="8"/>
        <v>0</v>
      </c>
      <c r="V10" s="238">
        <f>+'%'!J8</f>
        <v>0.1</v>
      </c>
      <c r="W10" s="239">
        <f t="shared" si="9"/>
        <v>490000</v>
      </c>
      <c r="X10" s="93">
        <f t="shared" si="14"/>
        <v>490000</v>
      </c>
      <c r="Y10" s="88">
        <v>0.13</v>
      </c>
      <c r="Z10" s="89">
        <f t="shared" si="10"/>
        <v>637000</v>
      </c>
      <c r="AA10" s="93">
        <f t="shared" si="15"/>
        <v>637000</v>
      </c>
      <c r="AB10" s="81">
        <f t="shared" si="16"/>
        <v>0</v>
      </c>
      <c r="AC10" s="82">
        <f t="shared" si="11"/>
        <v>1</v>
      </c>
    </row>
    <row r="11" spans="1:30" x14ac:dyDescent="0.25">
      <c r="A11" s="46" t="s">
        <v>185</v>
      </c>
      <c r="B11" s="90">
        <f>+' NOMINAS ENE-DIC'!B47</f>
        <v>870000</v>
      </c>
      <c r="C11" s="91">
        <f>+'%'!B9</f>
        <v>0.2</v>
      </c>
      <c r="D11" s="93">
        <f t="shared" si="0"/>
        <v>174000</v>
      </c>
      <c r="E11" s="122">
        <f>+'%'!C9</f>
        <v>0.1</v>
      </c>
      <c r="F11" s="123">
        <f t="shared" si="1"/>
        <v>87000</v>
      </c>
      <c r="G11" s="122">
        <f>+'%'!D9</f>
        <v>0.2</v>
      </c>
      <c r="H11" s="123">
        <f t="shared" si="2"/>
        <v>174000</v>
      </c>
      <c r="I11" s="122">
        <f>+'%'!E9</f>
        <v>0.15</v>
      </c>
      <c r="J11" s="123">
        <f t="shared" si="3"/>
        <v>130500</v>
      </c>
      <c r="K11" s="93">
        <f t="shared" si="4"/>
        <v>391500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233">
        <v>0.02</v>
      </c>
      <c r="P11" s="234">
        <f t="shared" si="6"/>
        <v>17400</v>
      </c>
      <c r="Q11" s="233">
        <f>+'%'!H9</f>
        <v>0.1</v>
      </c>
      <c r="R11" s="234">
        <f t="shared" si="7"/>
        <v>87000</v>
      </c>
      <c r="S11" s="93">
        <f t="shared" si="13"/>
        <v>104400</v>
      </c>
      <c r="T11" s="238">
        <f>+'%'!I9</f>
        <v>0</v>
      </c>
      <c r="U11" s="239">
        <f t="shared" si="8"/>
        <v>0</v>
      </c>
      <c r="V11" s="238">
        <f>+'%'!J9</f>
        <v>0.2</v>
      </c>
      <c r="W11" s="239">
        <f t="shared" si="9"/>
        <v>174000</v>
      </c>
      <c r="X11" s="93">
        <f t="shared" si="14"/>
        <v>174000</v>
      </c>
      <c r="Y11" s="88">
        <v>0.03</v>
      </c>
      <c r="Z11" s="89">
        <f t="shared" si="10"/>
        <v>26100</v>
      </c>
      <c r="AA11" s="93">
        <f t="shared" si="15"/>
        <v>26100</v>
      </c>
      <c r="AB11" s="81">
        <f t="shared" si="16"/>
        <v>0</v>
      </c>
      <c r="AC11" s="82">
        <f t="shared" si="11"/>
        <v>1</v>
      </c>
    </row>
    <row r="12" spans="1:30" x14ac:dyDescent="0.25">
      <c r="A12" s="46" t="s">
        <v>181</v>
      </c>
      <c r="B12" s="92">
        <f>SUM(B5:B11)</f>
        <v>23381273.399999999</v>
      </c>
      <c r="C12" s="44"/>
      <c r="D12" s="93">
        <f>SUM(D5:D11)</f>
        <v>5956861</v>
      </c>
      <c r="E12" s="124"/>
      <c r="F12" s="125">
        <f>SUM(F5:F11)</f>
        <v>3098971.9800000004</v>
      </c>
      <c r="G12" s="124"/>
      <c r="H12" s="125">
        <f>SUM(H5:H11)</f>
        <v>6305031.6600000001</v>
      </c>
      <c r="I12" s="124"/>
      <c r="J12" s="125">
        <f>SUM(J5:J11)</f>
        <v>1690029.84</v>
      </c>
      <c r="K12" s="93">
        <f>SUM(K5:K11)</f>
        <v>11094033.48</v>
      </c>
      <c r="L12" s="44"/>
      <c r="M12" s="95">
        <f>SUM(M5:M11)</f>
        <v>45555.6</v>
      </c>
      <c r="N12" s="93">
        <f t="shared" si="12"/>
        <v>45555.6</v>
      </c>
      <c r="O12" s="235"/>
      <c r="P12" s="236">
        <f>SUM(P5:P11)</f>
        <v>291311.2</v>
      </c>
      <c r="Q12" s="235"/>
      <c r="R12" s="236">
        <f>SUM(R5:R11)</f>
        <v>933160.46</v>
      </c>
      <c r="S12" s="93">
        <f t="shared" si="13"/>
        <v>1224471.6599999999</v>
      </c>
      <c r="T12" s="240"/>
      <c r="U12" s="241">
        <f>SUM(U5:U11)</f>
        <v>911112</v>
      </c>
      <c r="V12" s="240"/>
      <c r="W12" s="241">
        <f>SUM(W5:W11)</f>
        <v>2479383.66</v>
      </c>
      <c r="X12" s="93">
        <f t="shared" si="14"/>
        <v>3390495.66</v>
      </c>
      <c r="Y12" s="79"/>
      <c r="Z12" s="94">
        <f>SUM(Z5:Z11)</f>
        <v>1669856</v>
      </c>
      <c r="AA12" s="93">
        <f t="shared" si="15"/>
        <v>1669856</v>
      </c>
      <c r="AB12" s="81">
        <f t="shared" si="16"/>
        <v>0</v>
      </c>
      <c r="AC12" s="82">
        <f t="shared" si="11"/>
        <v>0</v>
      </c>
    </row>
    <row r="15" spans="1:30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300</v>
      </c>
      <c r="O15" s="231" t="s">
        <v>162</v>
      </c>
      <c r="P15" s="231" t="s">
        <v>176</v>
      </c>
      <c r="Q15" s="232" t="s">
        <v>163</v>
      </c>
      <c r="R15" s="232" t="s">
        <v>176</v>
      </c>
      <c r="S15" s="71" t="s">
        <v>171</v>
      </c>
      <c r="T15" s="237" t="s">
        <v>164</v>
      </c>
      <c r="U15" s="237" t="s">
        <v>176</v>
      </c>
      <c r="V15" s="158" t="s">
        <v>165</v>
      </c>
      <c r="W15" s="158" t="s">
        <v>176</v>
      </c>
      <c r="X15" s="71" t="s">
        <v>299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0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233">
        <v>0.03</v>
      </c>
      <c r="P16" s="234">
        <f>+O16*B16</f>
        <v>39340.799999999996</v>
      </c>
      <c r="Q16" s="233">
        <v>0.05</v>
      </c>
      <c r="R16" s="234">
        <f>+Q16*B16</f>
        <v>65568</v>
      </c>
      <c r="S16" s="93">
        <f>+P16+R16</f>
        <v>104908.79999999999</v>
      </c>
      <c r="T16" s="238">
        <v>0.15</v>
      </c>
      <c r="U16" s="239">
        <f>+T16*B16</f>
        <v>196704</v>
      </c>
      <c r="V16" s="238">
        <v>0.45</v>
      </c>
      <c r="W16" s="239">
        <f>+V16*B16</f>
        <v>590112</v>
      </c>
      <c r="X16" s="242">
        <f>+U16+W16</f>
        <v>786816</v>
      </c>
      <c r="Y16" s="88">
        <v>0</v>
      </c>
      <c r="Z16" s="89">
        <f t="shared" ref="Z16:Z46" si="17">+Y16*B16</f>
        <v>0</v>
      </c>
      <c r="AA16" s="93">
        <f>+Z16</f>
        <v>0</v>
      </c>
      <c r="AB16" s="81">
        <f>+(D16+K16+N16+S16+X16+AA16)-B16</f>
        <v>0</v>
      </c>
      <c r="AC16" s="82">
        <f>+C16+E16+G16+I16+L16+O16+Q16+T16+V16+Y16</f>
        <v>1</v>
      </c>
      <c r="AD16" s="159">
        <f t="shared" ref="AD16:AD46" si="18">+AA16+S16+K16</f>
        <v>380294.39999999997</v>
      </c>
    </row>
    <row r="17" spans="1:30" x14ac:dyDescent="0.25">
      <c r="A17" s="46" t="s">
        <v>81</v>
      </c>
      <c r="B17" s="90">
        <v>0</v>
      </c>
      <c r="C17" s="91">
        <v>0</v>
      </c>
      <c r="D17" s="85">
        <f t="shared" ref="D17:D46" si="19">+B17*C17</f>
        <v>0</v>
      </c>
      <c r="E17" s="122">
        <v>0.6</v>
      </c>
      <c r="F17" s="123">
        <f t="shared" ref="F17:F46" si="20">+B17*E17</f>
        <v>0</v>
      </c>
      <c r="G17" s="122">
        <v>0.4</v>
      </c>
      <c r="H17" s="123">
        <f t="shared" ref="H17:H46" si="21">+B17*G17</f>
        <v>0</v>
      </c>
      <c r="I17" s="122">
        <v>0</v>
      </c>
      <c r="J17" s="123">
        <f t="shared" ref="J17:J46" si="22">+B17*I17</f>
        <v>0</v>
      </c>
      <c r="K17" s="93">
        <f t="shared" ref="K17:K46" si="23">+F17+H17+J17</f>
        <v>0</v>
      </c>
      <c r="L17" s="86">
        <v>0</v>
      </c>
      <c r="M17" s="87">
        <f t="shared" ref="M17:M46" si="24">+L17*B17</f>
        <v>0</v>
      </c>
      <c r="N17" s="93">
        <f t="shared" ref="N17:N47" si="25">+M17</f>
        <v>0</v>
      </c>
      <c r="O17" s="233">
        <v>0</v>
      </c>
      <c r="P17" s="234">
        <f t="shared" ref="P17:P46" si="26">+O17*B17</f>
        <v>0</v>
      </c>
      <c r="Q17" s="233">
        <v>0</v>
      </c>
      <c r="R17" s="234">
        <f t="shared" ref="R17:R46" si="27">+Q17*B17</f>
        <v>0</v>
      </c>
      <c r="S17" s="93">
        <f t="shared" ref="S17:S47" si="28">+P17+R17</f>
        <v>0</v>
      </c>
      <c r="T17" s="238">
        <v>0</v>
      </c>
      <c r="U17" s="239">
        <f t="shared" ref="U17:U46" si="29">+T17*B17</f>
        <v>0</v>
      </c>
      <c r="V17" s="238">
        <v>0</v>
      </c>
      <c r="W17" s="239">
        <f>+V17*B17</f>
        <v>0</v>
      </c>
      <c r="X17" s="242">
        <f t="shared" ref="X17:X47" si="30">+U17+W17</f>
        <v>0</v>
      </c>
      <c r="Y17" s="88">
        <v>0</v>
      </c>
      <c r="Z17" s="89">
        <f t="shared" si="17"/>
        <v>0</v>
      </c>
      <c r="AA17" s="93">
        <f t="shared" ref="AA17:AA47" si="31">+Z17</f>
        <v>0</v>
      </c>
      <c r="AB17" s="81">
        <f t="shared" ref="AB17:AB47" si="32">+(D17+K17+N17+S17+X17+AA17)-B17</f>
        <v>0</v>
      </c>
      <c r="AC17" s="82">
        <f t="shared" ref="AC17:AC47" si="33">+C17+E17+G17+I17+L17+O17+Q17+T17+V17+Y17</f>
        <v>1</v>
      </c>
      <c r="AD17" s="159">
        <f t="shared" si="18"/>
        <v>0</v>
      </c>
    </row>
    <row r="18" spans="1:30" x14ac:dyDescent="0.25">
      <c r="A18" s="46" t="s">
        <v>268</v>
      </c>
      <c r="B18" s="90">
        <v>1000000</v>
      </c>
      <c r="C18" s="91">
        <v>0</v>
      </c>
      <c r="D18" s="85">
        <f t="shared" si="19"/>
        <v>0</v>
      </c>
      <c r="E18" s="122">
        <v>0.6</v>
      </c>
      <c r="F18" s="123">
        <f t="shared" si="20"/>
        <v>600000</v>
      </c>
      <c r="G18" s="122">
        <v>0.4</v>
      </c>
      <c r="H18" s="123">
        <f t="shared" si="21"/>
        <v>400000</v>
      </c>
      <c r="I18" s="122">
        <v>0</v>
      </c>
      <c r="J18" s="123">
        <f t="shared" si="22"/>
        <v>0</v>
      </c>
      <c r="K18" s="93">
        <f t="shared" ref="K18" si="34">+F18+H18+J18</f>
        <v>1000000</v>
      </c>
      <c r="L18" s="86">
        <v>0</v>
      </c>
      <c r="M18" s="87">
        <f t="shared" si="24"/>
        <v>0</v>
      </c>
      <c r="N18" s="93">
        <f t="shared" si="25"/>
        <v>0</v>
      </c>
      <c r="O18" s="233">
        <v>0</v>
      </c>
      <c r="P18" s="234">
        <f t="shared" si="26"/>
        <v>0</v>
      </c>
      <c r="Q18" s="233">
        <v>0</v>
      </c>
      <c r="R18" s="234">
        <f t="shared" si="27"/>
        <v>0</v>
      </c>
      <c r="S18" s="93">
        <f t="shared" si="28"/>
        <v>0</v>
      </c>
      <c r="T18" s="238">
        <v>0</v>
      </c>
      <c r="U18" s="239">
        <f t="shared" ref="U18" si="35">+T18*B18</f>
        <v>0</v>
      </c>
      <c r="V18" s="238">
        <v>0</v>
      </c>
      <c r="W18" s="239">
        <f>+V18*B18</f>
        <v>0</v>
      </c>
      <c r="X18" s="242">
        <f t="shared" si="30"/>
        <v>0</v>
      </c>
      <c r="Y18" s="88">
        <v>0</v>
      </c>
      <c r="Z18" s="89">
        <f t="shared" ref="Z18" si="36">+Y18*B18</f>
        <v>0</v>
      </c>
      <c r="AA18" s="93">
        <f t="shared" si="31"/>
        <v>0</v>
      </c>
      <c r="AB18" s="81">
        <f t="shared" si="32"/>
        <v>0</v>
      </c>
      <c r="AC18" s="82">
        <f t="shared" ref="AC18" si="37">+C18+E18+G18+I18+L18+O18+Q18+T18+V18+Y18</f>
        <v>1</v>
      </c>
      <c r="AD18" s="159">
        <f t="shared" si="18"/>
        <v>1000000</v>
      </c>
    </row>
    <row r="19" spans="1:30" x14ac:dyDescent="0.25">
      <c r="A19" s="46" t="s">
        <v>186</v>
      </c>
      <c r="B19" s="90">
        <f>1500000+400000+650000</f>
        <v>2550000</v>
      </c>
      <c r="C19" s="91">
        <v>0.1</v>
      </c>
      <c r="D19" s="85">
        <f t="shared" si="19"/>
        <v>255000</v>
      </c>
      <c r="E19" s="122">
        <v>0</v>
      </c>
      <c r="F19" s="123">
        <f t="shared" si="20"/>
        <v>0</v>
      </c>
      <c r="G19" s="122">
        <v>0</v>
      </c>
      <c r="H19" s="123">
        <f t="shared" si="21"/>
        <v>0</v>
      </c>
      <c r="I19" s="122">
        <v>0</v>
      </c>
      <c r="J19" s="123">
        <f t="shared" si="22"/>
        <v>0</v>
      </c>
      <c r="K19" s="93">
        <f t="shared" si="23"/>
        <v>0</v>
      </c>
      <c r="L19" s="86">
        <v>0.01</v>
      </c>
      <c r="M19" s="87">
        <f t="shared" si="24"/>
        <v>25500</v>
      </c>
      <c r="N19" s="93">
        <f t="shared" si="25"/>
        <v>25500</v>
      </c>
      <c r="O19" s="233">
        <v>0.1</v>
      </c>
      <c r="P19" s="234">
        <f t="shared" si="26"/>
        <v>255000</v>
      </c>
      <c r="Q19" s="233">
        <v>0.15</v>
      </c>
      <c r="R19" s="234">
        <f t="shared" si="27"/>
        <v>382500</v>
      </c>
      <c r="S19" s="93">
        <f t="shared" si="28"/>
        <v>637500</v>
      </c>
      <c r="T19" s="238">
        <v>0.2</v>
      </c>
      <c r="U19" s="239">
        <f t="shared" si="29"/>
        <v>510000</v>
      </c>
      <c r="V19" s="238">
        <v>0.34</v>
      </c>
      <c r="W19" s="239">
        <f t="shared" ref="W19:W46" si="38">+V19*B19</f>
        <v>867000.00000000012</v>
      </c>
      <c r="X19" s="242">
        <f t="shared" si="30"/>
        <v>1377000</v>
      </c>
      <c r="Y19" s="88">
        <v>0.1</v>
      </c>
      <c r="Z19" s="89">
        <f t="shared" si="17"/>
        <v>255000</v>
      </c>
      <c r="AA19" s="93">
        <f t="shared" si="31"/>
        <v>255000</v>
      </c>
      <c r="AB19" s="81">
        <f t="shared" si="32"/>
        <v>0</v>
      </c>
      <c r="AC19" s="82">
        <f t="shared" si="33"/>
        <v>1.0000000000000002</v>
      </c>
      <c r="AD19" s="159">
        <f t="shared" si="18"/>
        <v>892500</v>
      </c>
    </row>
    <row r="20" spans="1:30" x14ac:dyDescent="0.25">
      <c r="A20" s="46" t="s">
        <v>28</v>
      </c>
      <c r="B20" s="90">
        <v>53248</v>
      </c>
      <c r="C20" s="91">
        <v>0.1</v>
      </c>
      <c r="D20" s="85">
        <f t="shared" si="19"/>
        <v>5324.8</v>
      </c>
      <c r="E20" s="122">
        <v>0</v>
      </c>
      <c r="F20" s="123">
        <f t="shared" si="20"/>
        <v>0</v>
      </c>
      <c r="G20" s="122">
        <v>0</v>
      </c>
      <c r="H20" s="123">
        <f t="shared" si="21"/>
        <v>0</v>
      </c>
      <c r="I20" s="122">
        <v>0</v>
      </c>
      <c r="J20" s="123">
        <f t="shared" si="22"/>
        <v>0</v>
      </c>
      <c r="K20" s="93">
        <f t="shared" si="23"/>
        <v>0</v>
      </c>
      <c r="L20" s="86">
        <v>0</v>
      </c>
      <c r="M20" s="87">
        <f t="shared" si="24"/>
        <v>0</v>
      </c>
      <c r="N20" s="93">
        <f t="shared" si="25"/>
        <v>0</v>
      </c>
      <c r="O20" s="233">
        <v>0</v>
      </c>
      <c r="P20" s="234">
        <f t="shared" si="26"/>
        <v>0</v>
      </c>
      <c r="Q20" s="233">
        <v>0</v>
      </c>
      <c r="R20" s="234">
        <f t="shared" si="27"/>
        <v>0</v>
      </c>
      <c r="S20" s="93">
        <f t="shared" si="28"/>
        <v>0</v>
      </c>
      <c r="T20" s="238">
        <v>0.1</v>
      </c>
      <c r="U20" s="239">
        <f t="shared" si="29"/>
        <v>5324.8</v>
      </c>
      <c r="V20" s="238">
        <v>0.7</v>
      </c>
      <c r="W20" s="239">
        <f t="shared" si="38"/>
        <v>37273.599999999999</v>
      </c>
      <c r="X20" s="242">
        <f t="shared" si="30"/>
        <v>42598.400000000001</v>
      </c>
      <c r="Y20" s="88">
        <v>0.1</v>
      </c>
      <c r="Z20" s="89">
        <f t="shared" si="17"/>
        <v>5324.8</v>
      </c>
      <c r="AA20" s="93">
        <f t="shared" si="31"/>
        <v>5324.8</v>
      </c>
      <c r="AB20" s="81">
        <f t="shared" si="32"/>
        <v>0</v>
      </c>
      <c r="AC20" s="82">
        <f t="shared" si="33"/>
        <v>0.99999999999999989</v>
      </c>
      <c r="AD20" s="159">
        <f t="shared" si="18"/>
        <v>5324.8</v>
      </c>
    </row>
    <row r="21" spans="1:30" x14ac:dyDescent="0.25">
      <c r="A21" s="46" t="s">
        <v>121</v>
      </c>
      <c r="B21" s="90"/>
      <c r="C21" s="91">
        <v>0.1</v>
      </c>
      <c r="D21" s="85">
        <f t="shared" si="19"/>
        <v>0</v>
      </c>
      <c r="E21" s="122">
        <v>0.05</v>
      </c>
      <c r="F21" s="123">
        <f t="shared" si="20"/>
        <v>0</v>
      </c>
      <c r="G21" s="122">
        <v>0.05</v>
      </c>
      <c r="H21" s="123">
        <f t="shared" si="21"/>
        <v>0</v>
      </c>
      <c r="I21" s="122">
        <v>0.01</v>
      </c>
      <c r="J21" s="123">
        <f t="shared" si="22"/>
        <v>0</v>
      </c>
      <c r="K21" s="93">
        <f t="shared" si="23"/>
        <v>0</v>
      </c>
      <c r="L21" s="86">
        <v>0</v>
      </c>
      <c r="M21" s="87">
        <f t="shared" si="24"/>
        <v>0</v>
      </c>
      <c r="N21" s="93">
        <f t="shared" si="25"/>
        <v>0</v>
      </c>
      <c r="O21" s="233">
        <v>0.05</v>
      </c>
      <c r="P21" s="234">
        <f t="shared" si="26"/>
        <v>0</v>
      </c>
      <c r="Q21" s="233">
        <v>0.05</v>
      </c>
      <c r="R21" s="234">
        <f t="shared" si="27"/>
        <v>0</v>
      </c>
      <c r="S21" s="93">
        <f t="shared" si="28"/>
        <v>0</v>
      </c>
      <c r="T21" s="238">
        <v>0</v>
      </c>
      <c r="U21" s="239">
        <f t="shared" si="29"/>
        <v>0</v>
      </c>
      <c r="V21" s="238">
        <v>0.45</v>
      </c>
      <c r="W21" s="239">
        <f t="shared" si="38"/>
        <v>0</v>
      </c>
      <c r="X21" s="242">
        <f t="shared" si="30"/>
        <v>0</v>
      </c>
      <c r="Y21" s="88">
        <v>0.24</v>
      </c>
      <c r="Z21" s="89">
        <f t="shared" si="17"/>
        <v>0</v>
      </c>
      <c r="AA21" s="93">
        <f t="shared" si="31"/>
        <v>0</v>
      </c>
      <c r="AB21" s="81">
        <f t="shared" si="32"/>
        <v>0</v>
      </c>
      <c r="AC21" s="82">
        <f t="shared" si="33"/>
        <v>1</v>
      </c>
      <c r="AD21" s="159">
        <f t="shared" si="18"/>
        <v>0</v>
      </c>
    </row>
    <row r="22" spans="1:30" x14ac:dyDescent="0.25">
      <c r="A22" s="46" t="s">
        <v>111</v>
      </c>
      <c r="B22" s="90">
        <f>97920+419894</f>
        <v>517814</v>
      </c>
      <c r="C22" s="91">
        <v>0</v>
      </c>
      <c r="D22" s="85">
        <f t="shared" si="19"/>
        <v>0</v>
      </c>
      <c r="E22" s="122">
        <v>0</v>
      </c>
      <c r="F22" s="123">
        <f t="shared" si="20"/>
        <v>0</v>
      </c>
      <c r="G22" s="122">
        <v>0</v>
      </c>
      <c r="H22" s="123">
        <f t="shared" si="21"/>
        <v>0</v>
      </c>
      <c r="I22" s="122">
        <v>0</v>
      </c>
      <c r="J22" s="123">
        <f t="shared" si="22"/>
        <v>0</v>
      </c>
      <c r="K22" s="93">
        <f t="shared" si="23"/>
        <v>0</v>
      </c>
      <c r="L22" s="86">
        <v>0</v>
      </c>
      <c r="M22" s="87">
        <f t="shared" si="24"/>
        <v>0</v>
      </c>
      <c r="N22" s="93">
        <f t="shared" si="25"/>
        <v>0</v>
      </c>
      <c r="O22" s="233">
        <v>0</v>
      </c>
      <c r="P22" s="234">
        <f t="shared" si="26"/>
        <v>0</v>
      </c>
      <c r="Q22" s="233">
        <v>0</v>
      </c>
      <c r="R22" s="234">
        <f t="shared" si="27"/>
        <v>0</v>
      </c>
      <c r="S22" s="93">
        <f t="shared" si="28"/>
        <v>0</v>
      </c>
      <c r="T22" s="238">
        <v>0</v>
      </c>
      <c r="U22" s="239">
        <f t="shared" si="29"/>
        <v>0</v>
      </c>
      <c r="V22" s="238">
        <v>0</v>
      </c>
      <c r="W22" s="239">
        <f t="shared" si="38"/>
        <v>0</v>
      </c>
      <c r="X22" s="242">
        <f t="shared" si="30"/>
        <v>0</v>
      </c>
      <c r="Y22" s="88">
        <v>1</v>
      </c>
      <c r="Z22" s="89">
        <f t="shared" si="17"/>
        <v>517814</v>
      </c>
      <c r="AA22" s="93">
        <f t="shared" si="31"/>
        <v>517814</v>
      </c>
      <c r="AB22" s="81">
        <f t="shared" si="32"/>
        <v>0</v>
      </c>
      <c r="AC22" s="82">
        <f t="shared" si="33"/>
        <v>1</v>
      </c>
      <c r="AD22" s="159">
        <f t="shared" si="18"/>
        <v>517814</v>
      </c>
    </row>
    <row r="23" spans="1:30" x14ac:dyDescent="0.25">
      <c r="A23" s="46" t="s">
        <v>220</v>
      </c>
      <c r="B23" s="90">
        <f>185338+16500</f>
        <v>201838</v>
      </c>
      <c r="C23" s="91">
        <v>0.1</v>
      </c>
      <c r="D23" s="85">
        <f t="shared" si="19"/>
        <v>20183.800000000003</v>
      </c>
      <c r="E23" s="122">
        <v>0.05</v>
      </c>
      <c r="F23" s="123">
        <f t="shared" si="20"/>
        <v>10091.900000000001</v>
      </c>
      <c r="G23" s="122">
        <v>0.15</v>
      </c>
      <c r="H23" s="123">
        <f t="shared" si="21"/>
        <v>30275.699999999997</v>
      </c>
      <c r="I23" s="122">
        <v>0</v>
      </c>
      <c r="J23" s="123">
        <f t="shared" si="22"/>
        <v>0</v>
      </c>
      <c r="K23" s="93">
        <f t="shared" si="23"/>
        <v>40367.599999999999</v>
      </c>
      <c r="L23" s="86">
        <v>0</v>
      </c>
      <c r="M23" s="87">
        <f t="shared" si="24"/>
        <v>0</v>
      </c>
      <c r="N23" s="93">
        <f t="shared" si="25"/>
        <v>0</v>
      </c>
      <c r="O23" s="233">
        <v>0</v>
      </c>
      <c r="P23" s="234">
        <f t="shared" si="26"/>
        <v>0</v>
      </c>
      <c r="Q23" s="233">
        <v>0.05</v>
      </c>
      <c r="R23" s="234">
        <f t="shared" si="27"/>
        <v>10091.900000000001</v>
      </c>
      <c r="S23" s="93">
        <f t="shared" si="28"/>
        <v>10091.900000000001</v>
      </c>
      <c r="T23" s="238">
        <v>0.15</v>
      </c>
      <c r="U23" s="239">
        <f t="shared" si="29"/>
        <v>30275.699999999997</v>
      </c>
      <c r="V23" s="238">
        <v>0.45</v>
      </c>
      <c r="W23" s="239">
        <f t="shared" si="38"/>
        <v>90827.1</v>
      </c>
      <c r="X23" s="242">
        <f t="shared" si="30"/>
        <v>121102.8</v>
      </c>
      <c r="Y23" s="88">
        <v>0.05</v>
      </c>
      <c r="Z23" s="89">
        <f t="shared" si="17"/>
        <v>10091.900000000001</v>
      </c>
      <c r="AA23" s="93">
        <f t="shared" si="31"/>
        <v>10091.900000000001</v>
      </c>
      <c r="AB23" s="81">
        <f t="shared" si="32"/>
        <v>0</v>
      </c>
      <c r="AC23" s="82">
        <f t="shared" si="33"/>
        <v>1</v>
      </c>
      <c r="AD23" s="159">
        <f t="shared" si="18"/>
        <v>60551.4</v>
      </c>
    </row>
    <row r="24" spans="1:30" x14ac:dyDescent="0.25">
      <c r="A24" s="46" t="s">
        <v>68</v>
      </c>
      <c r="B24" s="90">
        <v>236032</v>
      </c>
      <c r="C24" s="91">
        <v>0.1</v>
      </c>
      <c r="D24" s="85">
        <f t="shared" si="19"/>
        <v>23603.200000000001</v>
      </c>
      <c r="E24" s="122">
        <v>0.05</v>
      </c>
      <c r="F24" s="123">
        <f t="shared" si="20"/>
        <v>11801.6</v>
      </c>
      <c r="G24" s="122">
        <v>0.15</v>
      </c>
      <c r="H24" s="123">
        <f t="shared" si="21"/>
        <v>35404.799999999996</v>
      </c>
      <c r="I24" s="122">
        <v>0</v>
      </c>
      <c r="J24" s="123">
        <f t="shared" si="22"/>
        <v>0</v>
      </c>
      <c r="K24" s="93">
        <f t="shared" si="23"/>
        <v>47206.399999999994</v>
      </c>
      <c r="L24" s="86">
        <v>0</v>
      </c>
      <c r="M24" s="87">
        <f t="shared" si="24"/>
        <v>0</v>
      </c>
      <c r="N24" s="93">
        <f t="shared" si="25"/>
        <v>0</v>
      </c>
      <c r="O24" s="233">
        <v>0</v>
      </c>
      <c r="P24" s="234">
        <f t="shared" si="26"/>
        <v>0</v>
      </c>
      <c r="Q24" s="233">
        <v>0.05</v>
      </c>
      <c r="R24" s="234">
        <f t="shared" si="27"/>
        <v>11801.6</v>
      </c>
      <c r="S24" s="93">
        <f t="shared" si="28"/>
        <v>11801.6</v>
      </c>
      <c r="T24" s="238">
        <v>0.15</v>
      </c>
      <c r="U24" s="239">
        <f t="shared" si="29"/>
        <v>35404.799999999996</v>
      </c>
      <c r="V24" s="238">
        <v>0.45</v>
      </c>
      <c r="W24" s="239">
        <f t="shared" si="38"/>
        <v>106214.40000000001</v>
      </c>
      <c r="X24" s="242">
        <f t="shared" si="30"/>
        <v>141619.20000000001</v>
      </c>
      <c r="Y24" s="88">
        <v>0.05</v>
      </c>
      <c r="Z24" s="89">
        <f t="shared" si="17"/>
        <v>11801.6</v>
      </c>
      <c r="AA24" s="93">
        <f t="shared" si="31"/>
        <v>11801.6</v>
      </c>
      <c r="AB24" s="81">
        <f t="shared" si="32"/>
        <v>0</v>
      </c>
      <c r="AC24" s="82">
        <f t="shared" si="33"/>
        <v>1</v>
      </c>
      <c r="AD24" s="159">
        <f t="shared" si="18"/>
        <v>70809.599999999991</v>
      </c>
    </row>
    <row r="25" spans="1:30" x14ac:dyDescent="0.25">
      <c r="A25" s="46" t="s">
        <v>187</v>
      </c>
      <c r="B25" s="90">
        <v>1209312</v>
      </c>
      <c r="C25" s="91">
        <v>0.1</v>
      </c>
      <c r="D25" s="85">
        <f t="shared" si="19"/>
        <v>120931.20000000001</v>
      </c>
      <c r="E25" s="122">
        <v>0</v>
      </c>
      <c r="F25" s="123">
        <f t="shared" si="20"/>
        <v>0</v>
      </c>
      <c r="G25" s="122">
        <v>0</v>
      </c>
      <c r="H25" s="123">
        <f t="shared" si="21"/>
        <v>0</v>
      </c>
      <c r="I25" s="122">
        <v>0.1</v>
      </c>
      <c r="J25" s="123">
        <f t="shared" si="22"/>
        <v>120931.20000000001</v>
      </c>
      <c r="K25" s="93">
        <f t="shared" si="23"/>
        <v>120931.20000000001</v>
      </c>
      <c r="L25" s="86">
        <v>0</v>
      </c>
      <c r="M25" s="87">
        <f t="shared" si="24"/>
        <v>0</v>
      </c>
      <c r="N25" s="93">
        <f t="shared" si="25"/>
        <v>0</v>
      </c>
      <c r="O25" s="233">
        <v>0.05</v>
      </c>
      <c r="P25" s="234">
        <f t="shared" si="26"/>
        <v>60465.600000000006</v>
      </c>
      <c r="Q25" s="233">
        <v>0.1</v>
      </c>
      <c r="R25" s="234">
        <f t="shared" si="27"/>
        <v>120931.20000000001</v>
      </c>
      <c r="S25" s="93">
        <f t="shared" si="28"/>
        <v>181396.80000000002</v>
      </c>
      <c r="T25" s="238">
        <v>0.05</v>
      </c>
      <c r="U25" s="239">
        <f t="shared" si="29"/>
        <v>60465.600000000006</v>
      </c>
      <c r="V25" s="238">
        <v>0.6</v>
      </c>
      <c r="W25" s="239">
        <f t="shared" si="38"/>
        <v>725587.2</v>
      </c>
      <c r="X25" s="242">
        <f t="shared" si="30"/>
        <v>786052.79999999993</v>
      </c>
      <c r="Y25" s="88">
        <v>0</v>
      </c>
      <c r="Z25" s="89">
        <f t="shared" si="17"/>
        <v>0</v>
      </c>
      <c r="AA25" s="93">
        <f t="shared" si="31"/>
        <v>0</v>
      </c>
      <c r="AB25" s="81">
        <f t="shared" si="32"/>
        <v>0</v>
      </c>
      <c r="AC25" s="82">
        <f t="shared" si="33"/>
        <v>1</v>
      </c>
      <c r="AD25" s="159">
        <f t="shared" si="18"/>
        <v>302328</v>
      </c>
    </row>
    <row r="26" spans="1:30" x14ac:dyDescent="0.25">
      <c r="A26" s="46" t="s">
        <v>188</v>
      </c>
      <c r="B26" s="90">
        <f>216000+1123119</f>
        <v>1339119</v>
      </c>
      <c r="C26" s="91">
        <v>0.1</v>
      </c>
      <c r="D26" s="85">
        <f t="shared" si="19"/>
        <v>133911.9</v>
      </c>
      <c r="E26" s="122">
        <v>0</v>
      </c>
      <c r="F26" s="123">
        <f t="shared" si="20"/>
        <v>0</v>
      </c>
      <c r="G26" s="122">
        <v>0.1</v>
      </c>
      <c r="H26" s="123">
        <f t="shared" si="21"/>
        <v>133911.9</v>
      </c>
      <c r="I26" s="122">
        <v>0.02</v>
      </c>
      <c r="J26" s="123">
        <f t="shared" si="22"/>
        <v>26782.38</v>
      </c>
      <c r="K26" s="93">
        <f t="shared" si="23"/>
        <v>160694.28</v>
      </c>
      <c r="L26" s="86">
        <v>0</v>
      </c>
      <c r="M26" s="87">
        <f t="shared" si="24"/>
        <v>0</v>
      </c>
      <c r="N26" s="93">
        <f t="shared" si="25"/>
        <v>0</v>
      </c>
      <c r="O26" s="233">
        <v>0.1</v>
      </c>
      <c r="P26" s="234">
        <f t="shared" si="26"/>
        <v>133911.9</v>
      </c>
      <c r="Q26" s="233">
        <v>0.05</v>
      </c>
      <c r="R26" s="234">
        <f t="shared" si="27"/>
        <v>66955.95</v>
      </c>
      <c r="S26" s="93">
        <f t="shared" si="28"/>
        <v>200867.84999999998</v>
      </c>
      <c r="T26" s="238">
        <v>0.02</v>
      </c>
      <c r="U26" s="239">
        <f t="shared" si="29"/>
        <v>26782.38</v>
      </c>
      <c r="V26" s="238">
        <v>0.61</v>
      </c>
      <c r="W26" s="239">
        <f t="shared" si="38"/>
        <v>816862.59</v>
      </c>
      <c r="X26" s="242">
        <f t="shared" si="30"/>
        <v>843644.97</v>
      </c>
      <c r="Y26" s="88">
        <v>0</v>
      </c>
      <c r="Z26" s="89">
        <f t="shared" si="17"/>
        <v>0</v>
      </c>
      <c r="AA26" s="93">
        <f t="shared" si="31"/>
        <v>0</v>
      </c>
      <c r="AB26" s="81">
        <f t="shared" si="32"/>
        <v>0</v>
      </c>
      <c r="AC26" s="82">
        <f t="shared" si="33"/>
        <v>1</v>
      </c>
      <c r="AD26" s="159">
        <f t="shared" si="18"/>
        <v>361562.13</v>
      </c>
    </row>
    <row r="27" spans="1:30" x14ac:dyDescent="0.25">
      <c r="A27" s="46" t="s">
        <v>263</v>
      </c>
      <c r="B27" s="90"/>
      <c r="C27" s="91">
        <v>0.1</v>
      </c>
      <c r="D27" s="85">
        <f t="shared" si="19"/>
        <v>0</v>
      </c>
      <c r="E27" s="122">
        <v>0</v>
      </c>
      <c r="F27" s="123">
        <f t="shared" si="20"/>
        <v>0</v>
      </c>
      <c r="G27" s="122">
        <v>0.1</v>
      </c>
      <c r="H27" s="123">
        <f t="shared" si="21"/>
        <v>0</v>
      </c>
      <c r="I27" s="122">
        <v>0.02</v>
      </c>
      <c r="J27" s="123">
        <f t="shared" si="22"/>
        <v>0</v>
      </c>
      <c r="K27" s="93">
        <f t="shared" si="23"/>
        <v>0</v>
      </c>
      <c r="L27" s="86">
        <v>0</v>
      </c>
      <c r="M27" s="87">
        <f t="shared" si="24"/>
        <v>0</v>
      </c>
      <c r="N27" s="93">
        <f t="shared" si="25"/>
        <v>0</v>
      </c>
      <c r="O27" s="233">
        <v>0.1</v>
      </c>
      <c r="P27" s="234">
        <f t="shared" si="26"/>
        <v>0</v>
      </c>
      <c r="Q27" s="233">
        <v>0.05</v>
      </c>
      <c r="R27" s="234">
        <f t="shared" si="27"/>
        <v>0</v>
      </c>
      <c r="S27" s="93">
        <f t="shared" si="28"/>
        <v>0</v>
      </c>
      <c r="T27" s="238">
        <v>0.02</v>
      </c>
      <c r="U27" s="239">
        <f t="shared" si="29"/>
        <v>0</v>
      </c>
      <c r="V27" s="238">
        <v>0.61</v>
      </c>
      <c r="W27" s="239">
        <f t="shared" si="38"/>
        <v>0</v>
      </c>
      <c r="X27" s="242">
        <f t="shared" si="30"/>
        <v>0</v>
      </c>
      <c r="Y27" s="88">
        <v>0</v>
      </c>
      <c r="Z27" s="89">
        <f t="shared" si="17"/>
        <v>0</v>
      </c>
      <c r="AA27" s="93">
        <f t="shared" si="31"/>
        <v>0</v>
      </c>
      <c r="AB27" s="81">
        <f t="shared" si="32"/>
        <v>0</v>
      </c>
      <c r="AC27" s="82">
        <f t="shared" si="33"/>
        <v>1</v>
      </c>
      <c r="AD27" s="159">
        <f t="shared" si="18"/>
        <v>0</v>
      </c>
    </row>
    <row r="28" spans="1:30" x14ac:dyDescent="0.25">
      <c r="A28" s="46" t="s">
        <v>108</v>
      </c>
      <c r="B28" s="90"/>
      <c r="C28" s="91">
        <v>0.1</v>
      </c>
      <c r="D28" s="85">
        <f t="shared" si="19"/>
        <v>0</v>
      </c>
      <c r="E28" s="122">
        <v>0.05</v>
      </c>
      <c r="F28" s="123">
        <f t="shared" si="20"/>
        <v>0</v>
      </c>
      <c r="G28" s="122">
        <v>0.05</v>
      </c>
      <c r="H28" s="123">
        <f t="shared" si="21"/>
        <v>0</v>
      </c>
      <c r="I28" s="122">
        <v>0.01</v>
      </c>
      <c r="J28" s="123">
        <f t="shared" si="22"/>
        <v>0</v>
      </c>
      <c r="K28" s="93">
        <f t="shared" si="23"/>
        <v>0</v>
      </c>
      <c r="L28" s="86">
        <v>0</v>
      </c>
      <c r="M28" s="87">
        <f t="shared" si="24"/>
        <v>0</v>
      </c>
      <c r="N28" s="93">
        <f t="shared" si="25"/>
        <v>0</v>
      </c>
      <c r="O28" s="233">
        <v>0.02</v>
      </c>
      <c r="P28" s="234">
        <f t="shared" si="26"/>
        <v>0</v>
      </c>
      <c r="Q28" s="233">
        <v>0.25</v>
      </c>
      <c r="R28" s="234">
        <f t="shared" si="27"/>
        <v>0</v>
      </c>
      <c r="S28" s="93">
        <f t="shared" si="28"/>
        <v>0</v>
      </c>
      <c r="T28" s="238">
        <v>0.02</v>
      </c>
      <c r="U28" s="239">
        <f t="shared" si="29"/>
        <v>0</v>
      </c>
      <c r="V28" s="238">
        <v>0.5</v>
      </c>
      <c r="W28" s="239">
        <f t="shared" si="38"/>
        <v>0</v>
      </c>
      <c r="X28" s="242">
        <f t="shared" si="30"/>
        <v>0</v>
      </c>
      <c r="Y28" s="88">
        <v>0</v>
      </c>
      <c r="Z28" s="89">
        <f t="shared" si="17"/>
        <v>0</v>
      </c>
      <c r="AA28" s="93">
        <f t="shared" si="31"/>
        <v>0</v>
      </c>
      <c r="AB28" s="81">
        <f t="shared" si="32"/>
        <v>0</v>
      </c>
      <c r="AC28" s="82">
        <f t="shared" si="33"/>
        <v>1</v>
      </c>
      <c r="AD28" s="159">
        <f t="shared" si="18"/>
        <v>0</v>
      </c>
    </row>
    <row r="29" spans="1:30" x14ac:dyDescent="0.25">
      <c r="A29" s="46" t="s">
        <v>155</v>
      </c>
      <c r="B29" s="90">
        <v>160000</v>
      </c>
      <c r="C29" s="91">
        <v>0.1</v>
      </c>
      <c r="D29" s="85">
        <f t="shared" si="19"/>
        <v>16000</v>
      </c>
      <c r="E29" s="122">
        <v>0</v>
      </c>
      <c r="F29" s="123">
        <f t="shared" si="20"/>
        <v>0</v>
      </c>
      <c r="G29" s="122">
        <v>0</v>
      </c>
      <c r="H29" s="123">
        <f t="shared" si="21"/>
        <v>0</v>
      </c>
      <c r="I29" s="122">
        <v>0</v>
      </c>
      <c r="J29" s="123">
        <f t="shared" si="22"/>
        <v>0</v>
      </c>
      <c r="K29" s="93">
        <f t="shared" si="23"/>
        <v>0</v>
      </c>
      <c r="L29" s="86">
        <v>0.1</v>
      </c>
      <c r="M29" s="87">
        <f t="shared" si="24"/>
        <v>16000</v>
      </c>
      <c r="N29" s="93">
        <f t="shared" si="25"/>
        <v>16000</v>
      </c>
      <c r="O29" s="233">
        <v>0.1</v>
      </c>
      <c r="P29" s="234">
        <f t="shared" si="26"/>
        <v>16000</v>
      </c>
      <c r="Q29" s="233">
        <v>0.28000000000000003</v>
      </c>
      <c r="R29" s="234">
        <f t="shared" si="27"/>
        <v>44800.000000000007</v>
      </c>
      <c r="S29" s="93">
        <f t="shared" si="28"/>
        <v>60800.000000000007</v>
      </c>
      <c r="T29" s="238">
        <v>0.02</v>
      </c>
      <c r="U29" s="239">
        <f t="shared" si="29"/>
        <v>3200</v>
      </c>
      <c r="V29" s="238">
        <v>0.4</v>
      </c>
      <c r="W29" s="239">
        <f t="shared" si="38"/>
        <v>64000</v>
      </c>
      <c r="X29" s="242">
        <f t="shared" si="30"/>
        <v>67200</v>
      </c>
      <c r="Y29" s="88">
        <v>0</v>
      </c>
      <c r="Z29" s="89">
        <f t="shared" si="17"/>
        <v>0</v>
      </c>
      <c r="AA29" s="93">
        <f t="shared" si="31"/>
        <v>0</v>
      </c>
      <c r="AB29" s="81">
        <f t="shared" si="32"/>
        <v>0</v>
      </c>
      <c r="AC29" s="82">
        <f t="shared" si="33"/>
        <v>1</v>
      </c>
      <c r="AD29" s="159">
        <f t="shared" si="18"/>
        <v>60800.000000000007</v>
      </c>
    </row>
    <row r="30" spans="1:30" x14ac:dyDescent="0.25">
      <c r="A30" s="46" t="s">
        <v>115</v>
      </c>
      <c r="B30" s="90"/>
      <c r="C30" s="91">
        <v>0.1</v>
      </c>
      <c r="D30" s="85">
        <f t="shared" si="19"/>
        <v>0</v>
      </c>
      <c r="E30" s="122">
        <v>0</v>
      </c>
      <c r="F30" s="123">
        <f t="shared" si="20"/>
        <v>0</v>
      </c>
      <c r="G30" s="122">
        <v>0</v>
      </c>
      <c r="H30" s="123">
        <f t="shared" si="21"/>
        <v>0</v>
      </c>
      <c r="I30" s="122">
        <v>0</v>
      </c>
      <c r="J30" s="123">
        <f t="shared" si="22"/>
        <v>0</v>
      </c>
      <c r="K30" s="93">
        <f t="shared" si="23"/>
        <v>0</v>
      </c>
      <c r="L30" s="86">
        <v>0.01</v>
      </c>
      <c r="M30" s="87">
        <f t="shared" si="24"/>
        <v>0</v>
      </c>
      <c r="N30" s="93">
        <f t="shared" si="25"/>
        <v>0</v>
      </c>
      <c r="O30" s="233">
        <v>0.1</v>
      </c>
      <c r="P30" s="234">
        <f t="shared" si="26"/>
        <v>0</v>
      </c>
      <c r="Q30" s="233">
        <v>0.2</v>
      </c>
      <c r="R30" s="234">
        <f t="shared" si="27"/>
        <v>0</v>
      </c>
      <c r="S30" s="93">
        <f t="shared" si="28"/>
        <v>0</v>
      </c>
      <c r="T30" s="238">
        <v>0.05</v>
      </c>
      <c r="U30" s="239">
        <f t="shared" si="29"/>
        <v>0</v>
      </c>
      <c r="V30" s="238">
        <v>0.5</v>
      </c>
      <c r="W30" s="239">
        <f t="shared" si="38"/>
        <v>0</v>
      </c>
      <c r="X30" s="242">
        <f t="shared" si="30"/>
        <v>0</v>
      </c>
      <c r="Y30" s="88">
        <v>0.04</v>
      </c>
      <c r="Z30" s="89">
        <f t="shared" si="17"/>
        <v>0</v>
      </c>
      <c r="AA30" s="93">
        <f t="shared" si="31"/>
        <v>0</v>
      </c>
      <c r="AB30" s="81">
        <f t="shared" si="32"/>
        <v>0</v>
      </c>
      <c r="AC30" s="82">
        <f t="shared" si="33"/>
        <v>1</v>
      </c>
      <c r="AD30" s="159">
        <f t="shared" si="18"/>
        <v>0</v>
      </c>
    </row>
    <row r="31" spans="1:30" x14ac:dyDescent="0.25">
      <c r="A31" s="46" t="s">
        <v>72</v>
      </c>
      <c r="B31" s="90"/>
      <c r="C31" s="91">
        <v>0.1</v>
      </c>
      <c r="D31" s="85">
        <f t="shared" si="19"/>
        <v>0</v>
      </c>
      <c r="E31" s="122">
        <v>0</v>
      </c>
      <c r="F31" s="123">
        <f t="shared" si="20"/>
        <v>0</v>
      </c>
      <c r="G31" s="122">
        <v>0</v>
      </c>
      <c r="H31" s="123">
        <f t="shared" si="21"/>
        <v>0</v>
      </c>
      <c r="I31" s="122">
        <v>0</v>
      </c>
      <c r="J31" s="123">
        <f t="shared" si="22"/>
        <v>0</v>
      </c>
      <c r="K31" s="93">
        <f t="shared" si="23"/>
        <v>0</v>
      </c>
      <c r="L31" s="86">
        <v>0.01</v>
      </c>
      <c r="M31" s="87">
        <f t="shared" si="24"/>
        <v>0</v>
      </c>
      <c r="N31" s="93">
        <f t="shared" si="25"/>
        <v>0</v>
      </c>
      <c r="O31" s="233">
        <v>0.1</v>
      </c>
      <c r="P31" s="234">
        <f t="shared" si="26"/>
        <v>0</v>
      </c>
      <c r="Q31" s="233">
        <v>0.2</v>
      </c>
      <c r="R31" s="234">
        <f t="shared" si="27"/>
        <v>0</v>
      </c>
      <c r="S31" s="93">
        <f t="shared" si="28"/>
        <v>0</v>
      </c>
      <c r="T31" s="238">
        <v>0.05</v>
      </c>
      <c r="U31" s="239">
        <f t="shared" si="29"/>
        <v>0</v>
      </c>
      <c r="V31" s="238">
        <v>0.3</v>
      </c>
      <c r="W31" s="239">
        <f t="shared" si="38"/>
        <v>0</v>
      </c>
      <c r="X31" s="242">
        <f t="shared" si="30"/>
        <v>0</v>
      </c>
      <c r="Y31" s="88">
        <v>0.24</v>
      </c>
      <c r="Z31" s="89">
        <f t="shared" si="17"/>
        <v>0</v>
      </c>
      <c r="AA31" s="93">
        <f t="shared" si="31"/>
        <v>0</v>
      </c>
      <c r="AB31" s="81">
        <f t="shared" si="32"/>
        <v>0</v>
      </c>
      <c r="AC31" s="82">
        <f t="shared" si="33"/>
        <v>1</v>
      </c>
      <c r="AD31" s="159">
        <f t="shared" si="18"/>
        <v>0</v>
      </c>
    </row>
    <row r="32" spans="1:30" x14ac:dyDescent="0.25">
      <c r="A32" s="46" t="s">
        <v>52</v>
      </c>
      <c r="B32" s="90"/>
      <c r="C32" s="91">
        <v>0.1</v>
      </c>
      <c r="D32" s="85">
        <f t="shared" si="19"/>
        <v>0</v>
      </c>
      <c r="E32" s="122">
        <v>0</v>
      </c>
      <c r="F32" s="123">
        <f t="shared" si="20"/>
        <v>0</v>
      </c>
      <c r="G32" s="122">
        <v>0</v>
      </c>
      <c r="H32" s="123">
        <f t="shared" si="21"/>
        <v>0</v>
      </c>
      <c r="I32" s="122">
        <v>0</v>
      </c>
      <c r="J32" s="123">
        <f t="shared" si="22"/>
        <v>0</v>
      </c>
      <c r="K32" s="93">
        <f t="shared" si="23"/>
        <v>0</v>
      </c>
      <c r="L32" s="86">
        <v>0.01</v>
      </c>
      <c r="M32" s="87">
        <f t="shared" si="24"/>
        <v>0</v>
      </c>
      <c r="N32" s="93">
        <f t="shared" si="25"/>
        <v>0</v>
      </c>
      <c r="O32" s="233">
        <v>0.1</v>
      </c>
      <c r="P32" s="234">
        <f t="shared" si="26"/>
        <v>0</v>
      </c>
      <c r="Q32" s="233">
        <v>0.2</v>
      </c>
      <c r="R32" s="234">
        <f t="shared" si="27"/>
        <v>0</v>
      </c>
      <c r="S32" s="93">
        <f t="shared" si="28"/>
        <v>0</v>
      </c>
      <c r="T32" s="238">
        <v>0.05</v>
      </c>
      <c r="U32" s="239">
        <f t="shared" si="29"/>
        <v>0</v>
      </c>
      <c r="V32" s="238">
        <v>0.54</v>
      </c>
      <c r="W32" s="239">
        <f t="shared" si="38"/>
        <v>0</v>
      </c>
      <c r="X32" s="242">
        <f t="shared" si="30"/>
        <v>0</v>
      </c>
      <c r="Y32" s="88">
        <v>0</v>
      </c>
      <c r="Z32" s="89">
        <f t="shared" si="17"/>
        <v>0</v>
      </c>
      <c r="AA32" s="93">
        <f t="shared" si="31"/>
        <v>0</v>
      </c>
      <c r="AB32" s="81">
        <f t="shared" si="32"/>
        <v>0</v>
      </c>
      <c r="AC32" s="82">
        <f t="shared" si="33"/>
        <v>1</v>
      </c>
      <c r="AD32" s="159">
        <f t="shared" si="18"/>
        <v>0</v>
      </c>
    </row>
    <row r="33" spans="1:30" x14ac:dyDescent="0.25">
      <c r="A33" s="46" t="s">
        <v>189</v>
      </c>
      <c r="B33" s="90">
        <v>104958</v>
      </c>
      <c r="C33" s="91">
        <v>0.1</v>
      </c>
      <c r="D33" s="85">
        <f t="shared" si="19"/>
        <v>10495.800000000001</v>
      </c>
      <c r="E33" s="122">
        <v>0</v>
      </c>
      <c r="F33" s="123">
        <f t="shared" si="20"/>
        <v>0</v>
      </c>
      <c r="G33" s="122">
        <v>0</v>
      </c>
      <c r="H33" s="123">
        <f t="shared" si="21"/>
        <v>0</v>
      </c>
      <c r="I33" s="122">
        <v>0</v>
      </c>
      <c r="J33" s="123">
        <f t="shared" si="22"/>
        <v>0</v>
      </c>
      <c r="K33" s="93">
        <f t="shared" si="23"/>
        <v>0</v>
      </c>
      <c r="L33" s="86">
        <v>0.01</v>
      </c>
      <c r="M33" s="87">
        <f t="shared" si="24"/>
        <v>1049.58</v>
      </c>
      <c r="N33" s="93">
        <f t="shared" si="25"/>
        <v>1049.58</v>
      </c>
      <c r="O33" s="233">
        <v>0.1</v>
      </c>
      <c r="P33" s="234">
        <f t="shared" si="26"/>
        <v>10495.800000000001</v>
      </c>
      <c r="Q33" s="233">
        <v>0.2</v>
      </c>
      <c r="R33" s="234">
        <f t="shared" si="27"/>
        <v>20991.600000000002</v>
      </c>
      <c r="S33" s="93">
        <f t="shared" si="28"/>
        <v>31487.4</v>
      </c>
      <c r="T33" s="238">
        <v>0.05</v>
      </c>
      <c r="U33" s="239">
        <f t="shared" si="29"/>
        <v>5247.9000000000005</v>
      </c>
      <c r="V33" s="238">
        <v>0.54</v>
      </c>
      <c r="W33" s="239">
        <f t="shared" si="38"/>
        <v>56677.320000000007</v>
      </c>
      <c r="X33" s="242">
        <f t="shared" si="30"/>
        <v>61925.220000000008</v>
      </c>
      <c r="Y33" s="88">
        <v>0</v>
      </c>
      <c r="Z33" s="89">
        <f t="shared" si="17"/>
        <v>0</v>
      </c>
      <c r="AA33" s="93">
        <f t="shared" si="31"/>
        <v>0</v>
      </c>
      <c r="AB33" s="81">
        <f t="shared" si="32"/>
        <v>0</v>
      </c>
      <c r="AC33" s="82">
        <f t="shared" si="33"/>
        <v>1</v>
      </c>
      <c r="AD33" s="159">
        <f t="shared" si="18"/>
        <v>31487.4</v>
      </c>
    </row>
    <row r="34" spans="1:30" x14ac:dyDescent="0.25">
      <c r="A34" s="46" t="s">
        <v>190</v>
      </c>
      <c r="B34" s="90"/>
      <c r="C34" s="91">
        <v>0.1</v>
      </c>
      <c r="D34" s="85">
        <f t="shared" si="19"/>
        <v>0</v>
      </c>
      <c r="E34" s="122">
        <v>0</v>
      </c>
      <c r="F34" s="123">
        <f t="shared" si="20"/>
        <v>0</v>
      </c>
      <c r="G34" s="122">
        <v>0</v>
      </c>
      <c r="H34" s="123">
        <f t="shared" si="21"/>
        <v>0</v>
      </c>
      <c r="I34" s="122">
        <v>0</v>
      </c>
      <c r="J34" s="123">
        <f t="shared" si="22"/>
        <v>0</v>
      </c>
      <c r="K34" s="93">
        <f t="shared" si="23"/>
        <v>0</v>
      </c>
      <c r="L34" s="86">
        <v>0.01</v>
      </c>
      <c r="M34" s="87">
        <f t="shared" si="24"/>
        <v>0</v>
      </c>
      <c r="N34" s="93">
        <f t="shared" si="25"/>
        <v>0</v>
      </c>
      <c r="O34" s="233">
        <v>0.1</v>
      </c>
      <c r="P34" s="234">
        <f t="shared" si="26"/>
        <v>0</v>
      </c>
      <c r="Q34" s="233">
        <v>0.2</v>
      </c>
      <c r="R34" s="234">
        <f t="shared" si="27"/>
        <v>0</v>
      </c>
      <c r="S34" s="93">
        <f t="shared" si="28"/>
        <v>0</v>
      </c>
      <c r="T34" s="238">
        <v>0.05</v>
      </c>
      <c r="U34" s="239">
        <f t="shared" si="29"/>
        <v>0</v>
      </c>
      <c r="V34" s="238">
        <v>0.54</v>
      </c>
      <c r="W34" s="239">
        <f t="shared" si="38"/>
        <v>0</v>
      </c>
      <c r="X34" s="242">
        <f t="shared" si="30"/>
        <v>0</v>
      </c>
      <c r="Y34" s="88">
        <v>0</v>
      </c>
      <c r="Z34" s="89">
        <f t="shared" si="17"/>
        <v>0</v>
      </c>
      <c r="AA34" s="93">
        <f t="shared" si="31"/>
        <v>0</v>
      </c>
      <c r="AB34" s="81">
        <f t="shared" si="32"/>
        <v>0</v>
      </c>
      <c r="AC34" s="82">
        <f t="shared" si="33"/>
        <v>1</v>
      </c>
      <c r="AD34" s="159">
        <f t="shared" si="18"/>
        <v>0</v>
      </c>
    </row>
    <row r="35" spans="1:30" x14ac:dyDescent="0.25">
      <c r="A35" s="46" t="s">
        <v>6</v>
      </c>
      <c r="B35" s="90">
        <v>383180</v>
      </c>
      <c r="C35" s="91">
        <v>0.1</v>
      </c>
      <c r="D35" s="85">
        <f t="shared" si="19"/>
        <v>38318</v>
      </c>
      <c r="E35" s="122">
        <v>0</v>
      </c>
      <c r="F35" s="123">
        <f t="shared" si="20"/>
        <v>0</v>
      </c>
      <c r="G35" s="122">
        <v>0</v>
      </c>
      <c r="H35" s="123">
        <f t="shared" si="21"/>
        <v>0</v>
      </c>
      <c r="I35" s="122">
        <v>0</v>
      </c>
      <c r="J35" s="123">
        <f t="shared" si="22"/>
        <v>0</v>
      </c>
      <c r="K35" s="93">
        <f t="shared" si="23"/>
        <v>0</v>
      </c>
      <c r="L35" s="86">
        <v>0</v>
      </c>
      <c r="M35" s="87">
        <f t="shared" si="24"/>
        <v>0</v>
      </c>
      <c r="N35" s="93">
        <f t="shared" si="25"/>
        <v>0</v>
      </c>
      <c r="O35" s="233">
        <v>0</v>
      </c>
      <c r="P35" s="234">
        <f t="shared" si="26"/>
        <v>0</v>
      </c>
      <c r="Q35" s="233">
        <v>0</v>
      </c>
      <c r="R35" s="234">
        <f t="shared" si="27"/>
        <v>0</v>
      </c>
      <c r="S35" s="93">
        <f t="shared" si="28"/>
        <v>0</v>
      </c>
      <c r="T35" s="238">
        <v>0</v>
      </c>
      <c r="U35" s="239">
        <f t="shared" si="29"/>
        <v>0</v>
      </c>
      <c r="V35" s="238">
        <v>0.2</v>
      </c>
      <c r="W35" s="239">
        <f t="shared" si="38"/>
        <v>76636</v>
      </c>
      <c r="X35" s="242">
        <f t="shared" si="30"/>
        <v>76636</v>
      </c>
      <c r="Y35" s="88">
        <v>0.7</v>
      </c>
      <c r="Z35" s="89">
        <f t="shared" si="17"/>
        <v>268226</v>
      </c>
      <c r="AA35" s="93">
        <f t="shared" si="31"/>
        <v>268226</v>
      </c>
      <c r="AB35" s="81">
        <f t="shared" si="32"/>
        <v>0</v>
      </c>
      <c r="AC35" s="82">
        <f t="shared" si="33"/>
        <v>1</v>
      </c>
      <c r="AD35" s="159">
        <f t="shared" si="18"/>
        <v>268226</v>
      </c>
    </row>
    <row r="36" spans="1:30" x14ac:dyDescent="0.25">
      <c r="A36" s="46" t="s">
        <v>191</v>
      </c>
      <c r="B36" s="90">
        <v>188981</v>
      </c>
      <c r="C36" s="91">
        <v>0.1</v>
      </c>
      <c r="D36" s="85">
        <f t="shared" si="19"/>
        <v>18898.100000000002</v>
      </c>
      <c r="E36" s="122">
        <v>0</v>
      </c>
      <c r="F36" s="123">
        <f t="shared" si="20"/>
        <v>0</v>
      </c>
      <c r="G36" s="122">
        <v>0</v>
      </c>
      <c r="H36" s="123">
        <f t="shared" si="21"/>
        <v>0</v>
      </c>
      <c r="I36" s="122">
        <v>0</v>
      </c>
      <c r="J36" s="123">
        <f t="shared" si="22"/>
        <v>0</v>
      </c>
      <c r="K36" s="93">
        <f t="shared" si="23"/>
        <v>0</v>
      </c>
      <c r="L36" s="86">
        <v>0.01</v>
      </c>
      <c r="M36" s="87">
        <f t="shared" si="24"/>
        <v>1889.81</v>
      </c>
      <c r="N36" s="93">
        <f t="shared" si="25"/>
        <v>1889.81</v>
      </c>
      <c r="O36" s="233">
        <v>0.05</v>
      </c>
      <c r="P36" s="234">
        <f t="shared" si="26"/>
        <v>9449.0500000000011</v>
      </c>
      <c r="Q36" s="233">
        <v>0.1</v>
      </c>
      <c r="R36" s="234">
        <f t="shared" si="27"/>
        <v>18898.100000000002</v>
      </c>
      <c r="S36" s="93">
        <f t="shared" si="28"/>
        <v>28347.15</v>
      </c>
      <c r="T36" s="238">
        <v>0.02</v>
      </c>
      <c r="U36" s="239">
        <f t="shared" si="29"/>
        <v>3779.62</v>
      </c>
      <c r="V36" s="238">
        <v>0.4</v>
      </c>
      <c r="W36" s="239">
        <f t="shared" si="38"/>
        <v>75592.400000000009</v>
      </c>
      <c r="X36" s="242">
        <f t="shared" si="30"/>
        <v>79372.02</v>
      </c>
      <c r="Y36" s="88">
        <v>0.32</v>
      </c>
      <c r="Z36" s="89">
        <f t="shared" si="17"/>
        <v>60473.919999999998</v>
      </c>
      <c r="AA36" s="93">
        <f t="shared" si="31"/>
        <v>60473.919999999998</v>
      </c>
      <c r="AB36" s="81">
        <f t="shared" si="32"/>
        <v>0</v>
      </c>
      <c r="AC36" s="82">
        <f t="shared" si="33"/>
        <v>1</v>
      </c>
      <c r="AD36" s="159">
        <f t="shared" si="18"/>
        <v>88821.07</v>
      </c>
    </row>
    <row r="37" spans="1:30" x14ac:dyDescent="0.25">
      <c r="A37" s="46" t="s">
        <v>269</v>
      </c>
      <c r="B37" s="90">
        <v>8330131</v>
      </c>
      <c r="C37" s="91">
        <v>0</v>
      </c>
      <c r="D37" s="85">
        <f t="shared" si="19"/>
        <v>0</v>
      </c>
      <c r="E37" s="122">
        <v>0</v>
      </c>
      <c r="F37" s="123">
        <f t="shared" si="20"/>
        <v>0</v>
      </c>
      <c r="G37" s="122">
        <v>0</v>
      </c>
      <c r="H37" s="123">
        <f t="shared" si="21"/>
        <v>0</v>
      </c>
      <c r="I37" s="122">
        <v>0</v>
      </c>
      <c r="J37" s="123">
        <f t="shared" si="22"/>
        <v>0</v>
      </c>
      <c r="K37" s="93">
        <f t="shared" si="23"/>
        <v>0</v>
      </c>
      <c r="L37" s="86">
        <v>0</v>
      </c>
      <c r="M37" s="87">
        <f t="shared" si="24"/>
        <v>0</v>
      </c>
      <c r="N37" s="93">
        <f t="shared" si="25"/>
        <v>0</v>
      </c>
      <c r="O37" s="233">
        <v>0</v>
      </c>
      <c r="P37" s="234">
        <f t="shared" si="26"/>
        <v>0</v>
      </c>
      <c r="Q37" s="233">
        <v>1</v>
      </c>
      <c r="R37" s="234">
        <f t="shared" si="27"/>
        <v>8330131</v>
      </c>
      <c r="S37" s="93">
        <f t="shared" si="28"/>
        <v>8330131</v>
      </c>
      <c r="T37" s="238">
        <v>0</v>
      </c>
      <c r="U37" s="239">
        <f t="shared" si="29"/>
        <v>0</v>
      </c>
      <c r="V37" s="238">
        <v>0</v>
      </c>
      <c r="W37" s="239">
        <f t="shared" si="38"/>
        <v>0</v>
      </c>
      <c r="X37" s="242">
        <f t="shared" si="30"/>
        <v>0</v>
      </c>
      <c r="Y37" s="88">
        <v>0</v>
      </c>
      <c r="Z37" s="89">
        <f t="shared" si="17"/>
        <v>0</v>
      </c>
      <c r="AA37" s="93">
        <f t="shared" si="31"/>
        <v>0</v>
      </c>
      <c r="AB37" s="81">
        <f t="shared" si="32"/>
        <v>0</v>
      </c>
      <c r="AC37" s="82">
        <f t="shared" si="33"/>
        <v>1</v>
      </c>
      <c r="AD37" s="159">
        <f t="shared" si="18"/>
        <v>8330131</v>
      </c>
    </row>
    <row r="38" spans="1:30" x14ac:dyDescent="0.25">
      <c r="A38" s="46" t="s">
        <v>192</v>
      </c>
      <c r="B38" s="90">
        <v>710070</v>
      </c>
      <c r="C38" s="91">
        <v>0.1</v>
      </c>
      <c r="D38" s="85">
        <f t="shared" si="19"/>
        <v>71007</v>
      </c>
      <c r="E38" s="122">
        <v>0</v>
      </c>
      <c r="F38" s="123">
        <f t="shared" si="20"/>
        <v>0</v>
      </c>
      <c r="G38" s="122">
        <v>0</v>
      </c>
      <c r="H38" s="123">
        <f t="shared" si="21"/>
        <v>0</v>
      </c>
      <c r="I38" s="122">
        <v>0</v>
      </c>
      <c r="J38" s="123">
        <f t="shared" si="22"/>
        <v>0</v>
      </c>
      <c r="K38" s="93">
        <f t="shared" si="23"/>
        <v>0</v>
      </c>
      <c r="L38" s="86">
        <v>0.01</v>
      </c>
      <c r="M38" s="87">
        <f t="shared" si="24"/>
        <v>7100.7</v>
      </c>
      <c r="N38" s="93">
        <f t="shared" si="25"/>
        <v>7100.7</v>
      </c>
      <c r="O38" s="233">
        <v>0.1</v>
      </c>
      <c r="P38" s="234">
        <f t="shared" si="26"/>
        <v>71007</v>
      </c>
      <c r="Q38" s="233">
        <v>0.1</v>
      </c>
      <c r="R38" s="234">
        <f t="shared" si="27"/>
        <v>71007</v>
      </c>
      <c r="S38" s="93">
        <f t="shared" si="28"/>
        <v>142014</v>
      </c>
      <c r="T38" s="238">
        <v>0.1</v>
      </c>
      <c r="U38" s="239">
        <f t="shared" si="29"/>
        <v>71007</v>
      </c>
      <c r="V38" s="238">
        <v>0.59</v>
      </c>
      <c r="W38" s="239">
        <f t="shared" si="38"/>
        <v>418941.3</v>
      </c>
      <c r="X38" s="242">
        <f t="shared" si="30"/>
        <v>489948.3</v>
      </c>
      <c r="Y38" s="88">
        <v>0</v>
      </c>
      <c r="Z38" s="89">
        <f t="shared" si="17"/>
        <v>0</v>
      </c>
      <c r="AA38" s="93">
        <f t="shared" si="31"/>
        <v>0</v>
      </c>
      <c r="AB38" s="81">
        <f t="shared" si="32"/>
        <v>0</v>
      </c>
      <c r="AC38" s="82">
        <f t="shared" si="33"/>
        <v>1</v>
      </c>
      <c r="AD38" s="159">
        <f t="shared" si="18"/>
        <v>142014</v>
      </c>
    </row>
    <row r="39" spans="1:30" x14ac:dyDescent="0.25">
      <c r="A39" s="46" t="s">
        <v>247</v>
      </c>
      <c r="B39" s="90">
        <v>237609</v>
      </c>
      <c r="C39" s="91">
        <v>0.1</v>
      </c>
      <c r="D39" s="85">
        <f t="shared" si="19"/>
        <v>23760.9</v>
      </c>
      <c r="E39" s="122">
        <v>0</v>
      </c>
      <c r="F39" s="123">
        <f t="shared" si="20"/>
        <v>0</v>
      </c>
      <c r="G39" s="122">
        <v>0</v>
      </c>
      <c r="H39" s="123">
        <f t="shared" si="21"/>
        <v>0</v>
      </c>
      <c r="I39" s="122">
        <v>0</v>
      </c>
      <c r="J39" s="123">
        <f t="shared" si="22"/>
        <v>0</v>
      </c>
      <c r="K39" s="93">
        <f t="shared" si="23"/>
        <v>0</v>
      </c>
      <c r="L39" s="86">
        <v>0.01</v>
      </c>
      <c r="M39" s="87">
        <f t="shared" si="24"/>
        <v>2376.09</v>
      </c>
      <c r="N39" s="93">
        <f t="shared" si="25"/>
        <v>2376.09</v>
      </c>
      <c r="O39" s="233">
        <v>0.1</v>
      </c>
      <c r="P39" s="234">
        <f t="shared" si="26"/>
        <v>23760.9</v>
      </c>
      <c r="Q39" s="233">
        <v>0.1</v>
      </c>
      <c r="R39" s="234">
        <f t="shared" si="27"/>
        <v>23760.9</v>
      </c>
      <c r="S39" s="93">
        <f t="shared" si="28"/>
        <v>47521.8</v>
      </c>
      <c r="T39" s="238">
        <v>0.1</v>
      </c>
      <c r="U39" s="239">
        <f t="shared" si="29"/>
        <v>23760.9</v>
      </c>
      <c r="V39" s="238">
        <v>0.59</v>
      </c>
      <c r="W39" s="239">
        <f t="shared" si="38"/>
        <v>140189.31</v>
      </c>
      <c r="X39" s="242">
        <f t="shared" si="30"/>
        <v>163950.21</v>
      </c>
      <c r="Y39" s="88">
        <v>0</v>
      </c>
      <c r="Z39" s="89">
        <f t="shared" si="17"/>
        <v>0</v>
      </c>
      <c r="AA39" s="93">
        <f t="shared" si="31"/>
        <v>0</v>
      </c>
      <c r="AB39" s="81">
        <f t="shared" si="32"/>
        <v>0</v>
      </c>
      <c r="AC39" s="82">
        <f t="shared" si="33"/>
        <v>1</v>
      </c>
      <c r="AD39" s="159">
        <f t="shared" si="18"/>
        <v>47521.8</v>
      </c>
    </row>
    <row r="40" spans="1:30" x14ac:dyDescent="0.25">
      <c r="A40" s="46" t="s">
        <v>48</v>
      </c>
      <c r="B40" s="90">
        <f>404000+8000</f>
        <v>412000</v>
      </c>
      <c r="C40" s="91">
        <v>0.1</v>
      </c>
      <c r="D40" s="85">
        <f t="shared" si="19"/>
        <v>41200</v>
      </c>
      <c r="E40" s="122">
        <v>0</v>
      </c>
      <c r="F40" s="123">
        <f t="shared" si="20"/>
        <v>0</v>
      </c>
      <c r="G40" s="122">
        <v>0</v>
      </c>
      <c r="H40" s="123">
        <f t="shared" si="21"/>
        <v>0</v>
      </c>
      <c r="I40" s="122">
        <v>0</v>
      </c>
      <c r="J40" s="123">
        <f t="shared" si="22"/>
        <v>0</v>
      </c>
      <c r="K40" s="93">
        <f t="shared" si="23"/>
        <v>0</v>
      </c>
      <c r="L40" s="86">
        <v>0.01</v>
      </c>
      <c r="M40" s="87">
        <f t="shared" si="24"/>
        <v>4120</v>
      </c>
      <c r="N40" s="93">
        <f t="shared" si="25"/>
        <v>4120</v>
      </c>
      <c r="O40" s="233">
        <v>0.1</v>
      </c>
      <c r="P40" s="234">
        <f t="shared" si="26"/>
        <v>41200</v>
      </c>
      <c r="Q40" s="233">
        <v>0.1</v>
      </c>
      <c r="R40" s="234">
        <f t="shared" si="27"/>
        <v>41200</v>
      </c>
      <c r="S40" s="93">
        <f t="shared" si="28"/>
        <v>82400</v>
      </c>
      <c r="T40" s="238">
        <v>0.1</v>
      </c>
      <c r="U40" s="239">
        <f t="shared" si="29"/>
        <v>41200</v>
      </c>
      <c r="V40" s="238">
        <v>0.59</v>
      </c>
      <c r="W40" s="239">
        <f t="shared" si="38"/>
        <v>243080</v>
      </c>
      <c r="X40" s="242">
        <f t="shared" si="30"/>
        <v>284280</v>
      </c>
      <c r="Y40" s="88">
        <v>0</v>
      </c>
      <c r="Z40" s="89">
        <f t="shared" si="17"/>
        <v>0</v>
      </c>
      <c r="AA40" s="93">
        <f t="shared" si="31"/>
        <v>0</v>
      </c>
      <c r="AB40" s="81">
        <f t="shared" si="32"/>
        <v>0</v>
      </c>
      <c r="AC40" s="82">
        <f t="shared" si="33"/>
        <v>1</v>
      </c>
      <c r="AD40" s="159">
        <f t="shared" si="18"/>
        <v>82400</v>
      </c>
    </row>
    <row r="41" spans="1:30" x14ac:dyDescent="0.25">
      <c r="A41" s="46" t="s">
        <v>49</v>
      </c>
      <c r="B41" s="90">
        <v>20202</v>
      </c>
      <c r="C41" s="91">
        <v>0.1</v>
      </c>
      <c r="D41" s="85">
        <f t="shared" si="19"/>
        <v>2020.2</v>
      </c>
      <c r="E41" s="122">
        <v>0</v>
      </c>
      <c r="F41" s="123">
        <f t="shared" si="20"/>
        <v>0</v>
      </c>
      <c r="G41" s="122">
        <v>0</v>
      </c>
      <c r="H41" s="123">
        <f t="shared" si="21"/>
        <v>0</v>
      </c>
      <c r="I41" s="122">
        <v>0</v>
      </c>
      <c r="J41" s="123">
        <f t="shared" si="22"/>
        <v>0</v>
      </c>
      <c r="K41" s="93">
        <f t="shared" si="23"/>
        <v>0</v>
      </c>
      <c r="L41" s="86">
        <v>0.01</v>
      </c>
      <c r="M41" s="87">
        <f t="shared" si="24"/>
        <v>202.02</v>
      </c>
      <c r="N41" s="93">
        <f t="shared" si="25"/>
        <v>202.02</v>
      </c>
      <c r="O41" s="233">
        <v>0.1</v>
      </c>
      <c r="P41" s="234">
        <f t="shared" si="26"/>
        <v>2020.2</v>
      </c>
      <c r="Q41" s="233">
        <v>0.2</v>
      </c>
      <c r="R41" s="234">
        <f t="shared" si="27"/>
        <v>4040.4</v>
      </c>
      <c r="S41" s="93">
        <f t="shared" si="28"/>
        <v>6060.6</v>
      </c>
      <c r="T41" s="238">
        <v>0.1</v>
      </c>
      <c r="U41" s="239">
        <f t="shared" si="29"/>
        <v>2020.2</v>
      </c>
      <c r="V41" s="238">
        <v>0.49</v>
      </c>
      <c r="W41" s="239">
        <f t="shared" si="38"/>
        <v>9898.98</v>
      </c>
      <c r="X41" s="242">
        <f t="shared" si="30"/>
        <v>11919.18</v>
      </c>
      <c r="Y41" s="88">
        <v>0</v>
      </c>
      <c r="Z41" s="89">
        <f t="shared" si="17"/>
        <v>0</v>
      </c>
      <c r="AA41" s="93">
        <f t="shared" si="31"/>
        <v>0</v>
      </c>
      <c r="AB41" s="81">
        <f t="shared" si="32"/>
        <v>0</v>
      </c>
      <c r="AC41" s="82">
        <f t="shared" si="33"/>
        <v>1</v>
      </c>
      <c r="AD41" s="159">
        <f t="shared" si="18"/>
        <v>6060.6</v>
      </c>
    </row>
    <row r="42" spans="1:30" x14ac:dyDescent="0.25">
      <c r="A42" s="46" t="s">
        <v>193</v>
      </c>
      <c r="B42" s="90">
        <v>1530000</v>
      </c>
      <c r="C42" s="91">
        <v>0</v>
      </c>
      <c r="D42" s="85">
        <f t="shared" si="19"/>
        <v>0</v>
      </c>
      <c r="E42" s="122">
        <v>0</v>
      </c>
      <c r="F42" s="123">
        <f t="shared" si="20"/>
        <v>0</v>
      </c>
      <c r="G42" s="122">
        <v>0</v>
      </c>
      <c r="H42" s="123">
        <f t="shared" si="21"/>
        <v>0</v>
      </c>
      <c r="I42" s="122">
        <v>0</v>
      </c>
      <c r="J42" s="123">
        <f t="shared" si="22"/>
        <v>0</v>
      </c>
      <c r="K42" s="93">
        <f t="shared" si="23"/>
        <v>0</v>
      </c>
      <c r="L42" s="86">
        <v>0</v>
      </c>
      <c r="M42" s="87">
        <f t="shared" si="24"/>
        <v>0</v>
      </c>
      <c r="N42" s="93">
        <f t="shared" si="25"/>
        <v>0</v>
      </c>
      <c r="O42" s="233">
        <v>0</v>
      </c>
      <c r="P42" s="234">
        <f t="shared" si="26"/>
        <v>0</v>
      </c>
      <c r="Q42" s="233">
        <v>1</v>
      </c>
      <c r="R42" s="234">
        <f t="shared" si="27"/>
        <v>1530000</v>
      </c>
      <c r="S42" s="93">
        <f t="shared" si="28"/>
        <v>1530000</v>
      </c>
      <c r="T42" s="238">
        <v>0</v>
      </c>
      <c r="U42" s="239">
        <f t="shared" si="29"/>
        <v>0</v>
      </c>
      <c r="V42" s="238">
        <v>0</v>
      </c>
      <c r="W42" s="239">
        <f t="shared" si="38"/>
        <v>0</v>
      </c>
      <c r="X42" s="242">
        <f t="shared" si="30"/>
        <v>0</v>
      </c>
      <c r="Y42" s="88">
        <v>0</v>
      </c>
      <c r="Z42" s="89">
        <f t="shared" si="17"/>
        <v>0</v>
      </c>
      <c r="AA42" s="93">
        <f t="shared" si="31"/>
        <v>0</v>
      </c>
      <c r="AB42" s="81">
        <f t="shared" si="32"/>
        <v>0</v>
      </c>
      <c r="AC42" s="82">
        <f t="shared" si="33"/>
        <v>1</v>
      </c>
      <c r="AD42" s="159">
        <f t="shared" si="18"/>
        <v>1530000</v>
      </c>
    </row>
    <row r="43" spans="1:30" x14ac:dyDescent="0.25">
      <c r="A43" s="46" t="s">
        <v>213</v>
      </c>
      <c r="B43" s="90">
        <v>2760000</v>
      </c>
      <c r="C43" s="91">
        <v>0</v>
      </c>
      <c r="D43" s="85">
        <f t="shared" si="19"/>
        <v>0</v>
      </c>
      <c r="E43" s="122">
        <v>0</v>
      </c>
      <c r="F43" s="123">
        <f t="shared" si="20"/>
        <v>0</v>
      </c>
      <c r="G43" s="122">
        <v>0</v>
      </c>
      <c r="H43" s="123">
        <f t="shared" si="21"/>
        <v>0</v>
      </c>
      <c r="I43" s="122">
        <v>0</v>
      </c>
      <c r="J43" s="123">
        <f t="shared" si="22"/>
        <v>0</v>
      </c>
      <c r="K43" s="93">
        <f t="shared" si="23"/>
        <v>0</v>
      </c>
      <c r="L43" s="86">
        <v>1</v>
      </c>
      <c r="M43" s="87">
        <f t="shared" si="24"/>
        <v>2760000</v>
      </c>
      <c r="N43" s="93">
        <f t="shared" si="25"/>
        <v>2760000</v>
      </c>
      <c r="O43" s="233">
        <v>0</v>
      </c>
      <c r="P43" s="234">
        <f t="shared" si="26"/>
        <v>0</v>
      </c>
      <c r="Q43" s="233">
        <v>0</v>
      </c>
      <c r="R43" s="234">
        <f t="shared" si="27"/>
        <v>0</v>
      </c>
      <c r="S43" s="93">
        <f t="shared" si="28"/>
        <v>0</v>
      </c>
      <c r="T43" s="238">
        <v>0</v>
      </c>
      <c r="U43" s="239">
        <f t="shared" si="29"/>
        <v>0</v>
      </c>
      <c r="V43" s="238">
        <v>0</v>
      </c>
      <c r="W43" s="239">
        <f t="shared" si="38"/>
        <v>0</v>
      </c>
      <c r="X43" s="242">
        <f t="shared" si="30"/>
        <v>0</v>
      </c>
      <c r="Y43" s="88">
        <v>0</v>
      </c>
      <c r="Z43" s="89">
        <f t="shared" si="17"/>
        <v>0</v>
      </c>
      <c r="AA43" s="93">
        <f t="shared" si="31"/>
        <v>0</v>
      </c>
      <c r="AB43" s="81">
        <f t="shared" si="32"/>
        <v>0</v>
      </c>
      <c r="AC43" s="82">
        <f t="shared" si="33"/>
        <v>1</v>
      </c>
      <c r="AD43" s="159">
        <f t="shared" si="18"/>
        <v>0</v>
      </c>
    </row>
    <row r="44" spans="1:30" x14ac:dyDescent="0.25">
      <c r="A44" s="46" t="s">
        <v>264</v>
      </c>
      <c r="B44" s="90">
        <v>10763677</v>
      </c>
      <c r="C44" s="91">
        <v>0</v>
      </c>
      <c r="D44" s="85">
        <f t="shared" si="19"/>
        <v>0</v>
      </c>
      <c r="E44" s="122">
        <v>0</v>
      </c>
      <c r="F44" s="123">
        <f t="shared" si="20"/>
        <v>0</v>
      </c>
      <c r="G44" s="122">
        <v>0</v>
      </c>
      <c r="H44" s="123">
        <f t="shared" si="21"/>
        <v>0</v>
      </c>
      <c r="I44" s="122">
        <v>0</v>
      </c>
      <c r="J44" s="123">
        <f t="shared" si="22"/>
        <v>0</v>
      </c>
      <c r="K44" s="93">
        <f t="shared" si="23"/>
        <v>0</v>
      </c>
      <c r="L44" s="86">
        <v>1</v>
      </c>
      <c r="M44" s="87">
        <f t="shared" si="24"/>
        <v>10763677</v>
      </c>
      <c r="N44" s="93">
        <f t="shared" si="25"/>
        <v>10763677</v>
      </c>
      <c r="O44" s="233">
        <v>0</v>
      </c>
      <c r="P44" s="234">
        <f t="shared" si="26"/>
        <v>0</v>
      </c>
      <c r="Q44" s="233">
        <v>0</v>
      </c>
      <c r="R44" s="234">
        <f t="shared" si="27"/>
        <v>0</v>
      </c>
      <c r="S44" s="93">
        <f t="shared" si="28"/>
        <v>0</v>
      </c>
      <c r="T44" s="238">
        <v>0</v>
      </c>
      <c r="U44" s="239">
        <f t="shared" si="29"/>
        <v>0</v>
      </c>
      <c r="V44" s="238">
        <v>0</v>
      </c>
      <c r="W44" s="239">
        <f t="shared" si="38"/>
        <v>0</v>
      </c>
      <c r="X44" s="242">
        <f t="shared" si="30"/>
        <v>0</v>
      </c>
      <c r="Y44" s="88">
        <v>0</v>
      </c>
      <c r="Z44" s="89">
        <f t="shared" si="17"/>
        <v>0</v>
      </c>
      <c r="AA44" s="93">
        <f t="shared" si="31"/>
        <v>0</v>
      </c>
      <c r="AB44" s="81">
        <f t="shared" si="32"/>
        <v>0</v>
      </c>
      <c r="AC44" s="82">
        <f t="shared" si="33"/>
        <v>1</v>
      </c>
      <c r="AD44" s="159">
        <f t="shared" si="18"/>
        <v>0</v>
      </c>
    </row>
    <row r="45" spans="1:30" x14ac:dyDescent="0.25">
      <c r="A45" s="46" t="s">
        <v>232</v>
      </c>
      <c r="B45" s="90">
        <v>400000</v>
      </c>
      <c r="C45" s="91">
        <v>0</v>
      </c>
      <c r="D45" s="85">
        <f t="shared" si="19"/>
        <v>0</v>
      </c>
      <c r="E45" s="122">
        <v>0</v>
      </c>
      <c r="F45" s="123">
        <f t="shared" si="20"/>
        <v>0</v>
      </c>
      <c r="G45" s="122">
        <v>0</v>
      </c>
      <c r="H45" s="123">
        <f t="shared" si="21"/>
        <v>0</v>
      </c>
      <c r="I45" s="122">
        <v>0</v>
      </c>
      <c r="J45" s="123">
        <f t="shared" si="22"/>
        <v>0</v>
      </c>
      <c r="K45" s="93">
        <f t="shared" si="23"/>
        <v>0</v>
      </c>
      <c r="L45" s="86">
        <v>0</v>
      </c>
      <c r="M45" s="87">
        <f t="shared" si="24"/>
        <v>0</v>
      </c>
      <c r="N45" s="93">
        <f t="shared" si="25"/>
        <v>0</v>
      </c>
      <c r="O45" s="233">
        <v>0</v>
      </c>
      <c r="P45" s="234">
        <f t="shared" si="26"/>
        <v>0</v>
      </c>
      <c r="Q45" s="233">
        <v>0</v>
      </c>
      <c r="R45" s="234">
        <f t="shared" si="27"/>
        <v>0</v>
      </c>
      <c r="S45" s="93">
        <f t="shared" si="28"/>
        <v>0</v>
      </c>
      <c r="T45" s="238">
        <v>0</v>
      </c>
      <c r="U45" s="239">
        <f t="shared" si="29"/>
        <v>0</v>
      </c>
      <c r="V45" s="238">
        <v>0.5</v>
      </c>
      <c r="W45" s="239">
        <f t="shared" si="38"/>
        <v>200000</v>
      </c>
      <c r="X45" s="242">
        <f t="shared" si="30"/>
        <v>200000</v>
      </c>
      <c r="Y45" s="88">
        <v>0.5</v>
      </c>
      <c r="Z45" s="89">
        <f t="shared" si="17"/>
        <v>200000</v>
      </c>
      <c r="AA45" s="93">
        <f t="shared" si="31"/>
        <v>200000</v>
      </c>
      <c r="AB45" s="81">
        <f t="shared" si="32"/>
        <v>0</v>
      </c>
      <c r="AC45" s="82">
        <f t="shared" si="33"/>
        <v>1</v>
      </c>
      <c r="AD45" s="159">
        <f t="shared" si="18"/>
        <v>200000</v>
      </c>
    </row>
    <row r="46" spans="1:30" x14ac:dyDescent="0.25">
      <c r="A46" s="46" t="s">
        <v>70</v>
      </c>
      <c r="B46" s="90"/>
      <c r="C46" s="91">
        <v>0.1</v>
      </c>
      <c r="D46" s="85">
        <f t="shared" si="19"/>
        <v>0</v>
      </c>
      <c r="E46" s="122">
        <v>0</v>
      </c>
      <c r="F46" s="123">
        <f t="shared" si="20"/>
        <v>0</v>
      </c>
      <c r="G46" s="122">
        <v>0</v>
      </c>
      <c r="H46" s="123">
        <f t="shared" si="21"/>
        <v>0</v>
      </c>
      <c r="I46" s="122">
        <v>0</v>
      </c>
      <c r="J46" s="123">
        <f t="shared" si="22"/>
        <v>0</v>
      </c>
      <c r="K46" s="93">
        <f t="shared" si="23"/>
        <v>0</v>
      </c>
      <c r="L46" s="86">
        <v>0.01</v>
      </c>
      <c r="M46" s="87">
        <f t="shared" si="24"/>
        <v>0</v>
      </c>
      <c r="N46" s="93">
        <f t="shared" si="25"/>
        <v>0</v>
      </c>
      <c r="O46" s="233">
        <v>0.1</v>
      </c>
      <c r="P46" s="234">
        <f t="shared" si="26"/>
        <v>0</v>
      </c>
      <c r="Q46" s="233">
        <v>0.2</v>
      </c>
      <c r="R46" s="234">
        <f t="shared" si="27"/>
        <v>0</v>
      </c>
      <c r="S46" s="93">
        <f t="shared" si="28"/>
        <v>0</v>
      </c>
      <c r="T46" s="238">
        <v>0.1</v>
      </c>
      <c r="U46" s="239">
        <f t="shared" si="29"/>
        <v>0</v>
      </c>
      <c r="V46" s="238">
        <v>0.49</v>
      </c>
      <c r="W46" s="239">
        <f t="shared" si="38"/>
        <v>0</v>
      </c>
      <c r="X46" s="242">
        <f t="shared" si="30"/>
        <v>0</v>
      </c>
      <c r="Y46" s="88">
        <v>0</v>
      </c>
      <c r="Z46" s="89">
        <f t="shared" si="17"/>
        <v>0</v>
      </c>
      <c r="AA46" s="93">
        <f t="shared" si="31"/>
        <v>0</v>
      </c>
      <c r="AB46" s="81">
        <f t="shared" si="32"/>
        <v>0</v>
      </c>
      <c r="AC46" s="82">
        <f t="shared" si="33"/>
        <v>1</v>
      </c>
      <c r="AD46" s="159">
        <f t="shared" si="18"/>
        <v>0</v>
      </c>
    </row>
    <row r="47" spans="1:30" x14ac:dyDescent="0.25">
      <c r="A47" s="46" t="s">
        <v>181</v>
      </c>
      <c r="B47" s="92">
        <f>SUM(B16:B46)</f>
        <v>34419531</v>
      </c>
      <c r="C47" s="44"/>
      <c r="D47" s="93">
        <f>SUM(D16:D46)</f>
        <v>911790.9</v>
      </c>
      <c r="E47" s="124"/>
      <c r="F47" s="125">
        <f>SUM(F16:F46)</f>
        <v>687461.5</v>
      </c>
      <c r="G47" s="124"/>
      <c r="H47" s="125">
        <f>SUM(H16:H46)</f>
        <v>796296.4</v>
      </c>
      <c r="I47" s="124"/>
      <c r="J47" s="125">
        <f>SUM(J16:J46)</f>
        <v>160827.18000000002</v>
      </c>
      <c r="K47" s="93">
        <f>+J47+H47+F47</f>
        <v>1644585.08</v>
      </c>
      <c r="L47" s="44"/>
      <c r="M47" s="95">
        <f>SUM(M16:M46)</f>
        <v>13595028.800000001</v>
      </c>
      <c r="N47" s="93">
        <f t="shared" si="25"/>
        <v>13595028.800000001</v>
      </c>
      <c r="O47" s="235"/>
      <c r="P47" s="236">
        <f>SUM(P16:P46)</f>
        <v>662651.25</v>
      </c>
      <c r="Q47" s="235"/>
      <c r="R47" s="236">
        <f>SUM(R16:R46)</f>
        <v>10742677.65</v>
      </c>
      <c r="S47" s="93">
        <f t="shared" si="28"/>
        <v>11405328.9</v>
      </c>
      <c r="T47" s="240"/>
      <c r="U47" s="241">
        <f>SUM(U16:U46)</f>
        <v>1015172.9</v>
      </c>
      <c r="V47" s="240"/>
      <c r="W47" s="241">
        <f>SUM(W16:W46)</f>
        <v>4518892.1999999993</v>
      </c>
      <c r="X47" s="242">
        <f t="shared" si="30"/>
        <v>5534065.0999999996</v>
      </c>
      <c r="Y47" s="79"/>
      <c r="Z47" s="94">
        <f>SUM(Z16:Z46)</f>
        <v>1328732.22</v>
      </c>
      <c r="AA47" s="93">
        <f t="shared" si="31"/>
        <v>1328732.22</v>
      </c>
      <c r="AB47" s="81">
        <f t="shared" si="32"/>
        <v>0</v>
      </c>
      <c r="AC47" s="82">
        <f t="shared" si="33"/>
        <v>0</v>
      </c>
      <c r="AD47" s="159">
        <f>SUM(AD16:AD46)</f>
        <v>14378646.199999999</v>
      </c>
    </row>
    <row r="50" spans="1:29" ht="30" x14ac:dyDescent="0.25">
      <c r="A50" s="71" t="s">
        <v>199</v>
      </c>
      <c r="B50" s="84" t="s">
        <v>180</v>
      </c>
      <c r="C50" s="74" t="s">
        <v>159</v>
      </c>
      <c r="D50" s="71" t="s">
        <v>176</v>
      </c>
      <c r="E50" s="106" t="s">
        <v>200</v>
      </c>
      <c r="F50" s="108" t="s">
        <v>176</v>
      </c>
      <c r="G50" s="80" t="s">
        <v>201</v>
      </c>
      <c r="H50" s="80" t="s">
        <v>202</v>
      </c>
      <c r="I50" s="99"/>
      <c r="J50" s="99"/>
      <c r="K50" s="99"/>
      <c r="L50" s="99"/>
      <c r="M50" s="99"/>
      <c r="N50" s="99"/>
      <c r="O50" s="99"/>
      <c r="P50" s="99"/>
      <c r="Q50" s="100"/>
      <c r="R50" s="100"/>
      <c r="S50" s="100"/>
      <c r="T50" s="99"/>
      <c r="U50" s="99"/>
      <c r="V50" s="100"/>
      <c r="W50" s="100"/>
      <c r="X50" s="100"/>
      <c r="Y50" s="100"/>
      <c r="Z50" s="100"/>
      <c r="AA50" s="100"/>
      <c r="AB50" s="101"/>
      <c r="AC50" s="101"/>
    </row>
    <row r="51" spans="1:29" x14ac:dyDescent="0.25">
      <c r="A51" s="46" t="s">
        <v>204</v>
      </c>
      <c r="B51" s="90">
        <v>1442496</v>
      </c>
      <c r="C51" s="91">
        <v>0.5</v>
      </c>
      <c r="D51" s="85">
        <f>+B51*C51</f>
        <v>721248</v>
      </c>
      <c r="E51" s="107">
        <v>0.5</v>
      </c>
      <c r="F51" s="109">
        <f>+E51*B51</f>
        <v>721248</v>
      </c>
      <c r="G51" s="110">
        <f>+C51+E51</f>
        <v>1</v>
      </c>
      <c r="H51" s="109">
        <f>+(F51+D51)-B51</f>
        <v>0</v>
      </c>
      <c r="I51" s="103"/>
      <c r="J51" s="102"/>
      <c r="K51" s="102"/>
      <c r="L51" s="103"/>
      <c r="M51" s="102"/>
      <c r="N51" s="102"/>
      <c r="O51" s="103"/>
      <c r="P51" s="102"/>
      <c r="Q51" s="103"/>
      <c r="R51" s="102"/>
      <c r="S51" s="102"/>
      <c r="T51" s="103"/>
      <c r="U51" s="102"/>
      <c r="V51" s="103"/>
      <c r="W51" s="102"/>
      <c r="X51" s="102"/>
      <c r="Y51" s="103"/>
      <c r="Z51" s="102"/>
      <c r="AA51" s="104"/>
      <c r="AB51" s="104"/>
      <c r="AC51" s="105"/>
    </row>
    <row r="52" spans="1:29" x14ac:dyDescent="0.25">
      <c r="A52" s="46" t="s">
        <v>205</v>
      </c>
      <c r="B52" s="90"/>
      <c r="C52" s="91">
        <v>0.5</v>
      </c>
      <c r="D52" s="85">
        <f t="shared" ref="D52:D58" si="39">+B52*C52</f>
        <v>0</v>
      </c>
      <c r="E52" s="107">
        <v>0.5</v>
      </c>
      <c r="F52" s="109">
        <f t="shared" ref="F52:F58" si="40">+E52*B52</f>
        <v>0</v>
      </c>
      <c r="G52" s="110">
        <f t="shared" ref="G52:G59" si="41">+C52+E52</f>
        <v>1</v>
      </c>
      <c r="H52" s="109">
        <f t="shared" ref="H52:H59" si="42">+(F52+D52)-B52</f>
        <v>0</v>
      </c>
      <c r="I52" s="103"/>
      <c r="J52" s="102"/>
      <c r="K52" s="102"/>
      <c r="L52" s="103"/>
      <c r="M52" s="102"/>
      <c r="N52" s="102"/>
      <c r="O52" s="103"/>
      <c r="P52" s="102"/>
      <c r="Q52" s="103"/>
      <c r="R52" s="102"/>
      <c r="S52" s="102"/>
      <c r="T52" s="103"/>
      <c r="U52" s="102"/>
      <c r="V52" s="103"/>
      <c r="W52" s="102"/>
      <c r="X52" s="102"/>
      <c r="Y52" s="103"/>
      <c r="Z52" s="102"/>
      <c r="AA52" s="104"/>
      <c r="AB52" s="104"/>
      <c r="AC52" s="105"/>
    </row>
    <row r="53" spans="1:29" x14ac:dyDescent="0.25">
      <c r="A53" s="46" t="s">
        <v>206</v>
      </c>
      <c r="B53" s="90">
        <v>396000</v>
      </c>
      <c r="C53" s="91">
        <v>0.5</v>
      </c>
      <c r="D53" s="85">
        <f t="shared" si="39"/>
        <v>198000</v>
      </c>
      <c r="E53" s="107">
        <v>0.5</v>
      </c>
      <c r="F53" s="109">
        <f t="shared" si="40"/>
        <v>198000</v>
      </c>
      <c r="G53" s="110">
        <f t="shared" si="41"/>
        <v>1</v>
      </c>
      <c r="H53" s="109">
        <f t="shared" si="42"/>
        <v>0</v>
      </c>
      <c r="I53" s="103"/>
      <c r="J53" s="102"/>
      <c r="K53" s="102"/>
      <c r="L53" s="103"/>
      <c r="M53" s="102"/>
      <c r="N53" s="102"/>
      <c r="O53" s="103"/>
      <c r="P53" s="102"/>
      <c r="Q53" s="103"/>
      <c r="R53" s="102"/>
      <c r="S53" s="102"/>
      <c r="T53" s="103"/>
      <c r="U53" s="102"/>
      <c r="V53" s="103"/>
      <c r="W53" s="102"/>
      <c r="X53" s="102"/>
      <c r="Y53" s="103"/>
      <c r="Z53" s="102"/>
      <c r="AA53" s="104"/>
      <c r="AB53" s="104"/>
      <c r="AC53" s="105"/>
    </row>
    <row r="54" spans="1:29" x14ac:dyDescent="0.25">
      <c r="A54" s="46" t="s">
        <v>209</v>
      </c>
      <c r="B54" s="90"/>
      <c r="C54" s="91">
        <v>0.5</v>
      </c>
      <c r="D54" s="85">
        <f t="shared" si="39"/>
        <v>0</v>
      </c>
      <c r="E54" s="107">
        <v>0.5</v>
      </c>
      <c r="F54" s="109">
        <f t="shared" si="40"/>
        <v>0</v>
      </c>
      <c r="G54" s="110">
        <f t="shared" si="41"/>
        <v>1</v>
      </c>
      <c r="H54" s="109">
        <f t="shared" si="42"/>
        <v>0</v>
      </c>
      <c r="I54" s="103"/>
      <c r="J54" s="102"/>
      <c r="K54" s="102"/>
      <c r="L54" s="103"/>
      <c r="M54" s="102"/>
      <c r="N54" s="102"/>
      <c r="O54" s="103"/>
      <c r="P54" s="102"/>
      <c r="Q54" s="103"/>
      <c r="R54" s="102"/>
      <c r="S54" s="102"/>
      <c r="T54" s="103"/>
      <c r="U54" s="102"/>
      <c r="V54" s="103"/>
      <c r="W54" s="102"/>
      <c r="X54" s="102"/>
      <c r="Y54" s="103"/>
      <c r="Z54" s="102"/>
      <c r="AA54" s="104"/>
      <c r="AB54" s="104"/>
      <c r="AC54" s="105"/>
    </row>
    <row r="55" spans="1:29" x14ac:dyDescent="0.25">
      <c r="A55" s="46" t="s">
        <v>210</v>
      </c>
      <c r="B55" s="90"/>
      <c r="C55" s="91">
        <v>0.5</v>
      </c>
      <c r="D55" s="85">
        <f t="shared" si="39"/>
        <v>0</v>
      </c>
      <c r="E55" s="107">
        <v>0.5</v>
      </c>
      <c r="F55" s="109">
        <f t="shared" si="40"/>
        <v>0</v>
      </c>
      <c r="G55" s="110">
        <f t="shared" si="41"/>
        <v>1</v>
      </c>
      <c r="H55" s="109">
        <f t="shared" si="42"/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29" x14ac:dyDescent="0.25">
      <c r="A56" s="46" t="s">
        <v>207</v>
      </c>
      <c r="B56" s="90">
        <v>3928149</v>
      </c>
      <c r="C56" s="91">
        <v>0.5</v>
      </c>
      <c r="D56" s="85">
        <f t="shared" si="39"/>
        <v>1964074.5</v>
      </c>
      <c r="E56" s="107">
        <v>0.5</v>
      </c>
      <c r="F56" s="109">
        <f t="shared" si="40"/>
        <v>1964074.5</v>
      </c>
      <c r="G56" s="110">
        <f t="shared" si="41"/>
        <v>1</v>
      </c>
      <c r="H56" s="109">
        <f t="shared" si="42"/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29" x14ac:dyDescent="0.25">
      <c r="A57" s="46" t="s">
        <v>208</v>
      </c>
      <c r="B57" s="90"/>
      <c r="C57" s="91">
        <v>0.5</v>
      </c>
      <c r="D57" s="85">
        <f t="shared" si="39"/>
        <v>0</v>
      </c>
      <c r="E57" s="107">
        <v>0.5</v>
      </c>
      <c r="F57" s="109">
        <f t="shared" si="40"/>
        <v>0</v>
      </c>
      <c r="G57" s="110">
        <f t="shared" si="41"/>
        <v>1</v>
      </c>
      <c r="H57" s="109">
        <f t="shared" si="42"/>
        <v>0</v>
      </c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29" x14ac:dyDescent="0.25">
      <c r="A58" s="46" t="s">
        <v>70</v>
      </c>
      <c r="B58" s="90">
        <v>338287</v>
      </c>
      <c r="C58" s="91">
        <v>0.5</v>
      </c>
      <c r="D58" s="85">
        <f t="shared" si="39"/>
        <v>169143.5</v>
      </c>
      <c r="E58" s="107">
        <v>0.5</v>
      </c>
      <c r="F58" s="109">
        <f t="shared" si="40"/>
        <v>169143.5</v>
      </c>
      <c r="G58" s="110">
        <f t="shared" si="41"/>
        <v>1</v>
      </c>
      <c r="H58" s="109">
        <f t="shared" si="42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29" x14ac:dyDescent="0.25">
      <c r="A59" s="115" t="s">
        <v>203</v>
      </c>
      <c r="B59" s="111">
        <f>SUM(B51:B58)</f>
        <v>6104932</v>
      </c>
      <c r="C59" s="91"/>
      <c r="D59" s="93">
        <f>SUM(D51:D58)</f>
        <v>3052466</v>
      </c>
      <c r="E59" s="107"/>
      <c r="F59" s="112">
        <f>SUM(F51:F58)</f>
        <v>3052466</v>
      </c>
      <c r="G59" s="110">
        <f t="shared" si="41"/>
        <v>0</v>
      </c>
      <c r="H59" s="109">
        <f t="shared" si="42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1" spans="1:29" x14ac:dyDescent="0.25">
      <c r="A61" s="116" t="s">
        <v>211</v>
      </c>
      <c r="B61" s="117">
        <f>+B12+B47+B59</f>
        <v>63905736.399999999</v>
      </c>
    </row>
    <row r="63" spans="1:29" x14ac:dyDescent="0.25">
      <c r="A63" s="51" t="s">
        <v>10</v>
      </c>
      <c r="B63" s="52">
        <f>+D12+D47</f>
        <v>6868651.9000000004</v>
      </c>
    </row>
    <row r="64" spans="1:29" x14ac:dyDescent="0.25">
      <c r="A64" s="51" t="s">
        <v>228</v>
      </c>
      <c r="B64" s="52">
        <f>+B59+K12+K47</f>
        <v>18843550.560000002</v>
      </c>
    </row>
    <row r="65" spans="1:2" x14ac:dyDescent="0.25">
      <c r="A65" s="51" t="s">
        <v>227</v>
      </c>
      <c r="B65" s="52">
        <f>+S12+S47</f>
        <v>12629800.560000001</v>
      </c>
    </row>
    <row r="66" spans="1:2" x14ac:dyDescent="0.25">
      <c r="A66" s="51" t="s">
        <v>212</v>
      </c>
      <c r="B66" s="52">
        <f>+AA12+AA47</f>
        <v>2998588.2199999997</v>
      </c>
    </row>
    <row r="67" spans="1:2" x14ac:dyDescent="0.25">
      <c r="A67" s="116" t="s">
        <v>211</v>
      </c>
      <c r="B67" s="117">
        <f>SUM(B63:B66)</f>
        <v>41340591.240000002</v>
      </c>
    </row>
    <row r="68" spans="1:2" hidden="1" x14ac:dyDescent="0.25">
      <c r="A68" s="113" t="s">
        <v>196</v>
      </c>
      <c r="B68" s="114">
        <f>+B61-B67</f>
        <v>22565145.159999996</v>
      </c>
    </row>
  </sheetData>
  <mergeCells count="12">
    <mergeCell ref="AB2:AC2"/>
    <mergeCell ref="E3:F3"/>
    <mergeCell ref="G3:H3"/>
    <mergeCell ref="I3:J3"/>
    <mergeCell ref="L3:M3"/>
    <mergeCell ref="O3:P3"/>
    <mergeCell ref="A1:W1"/>
    <mergeCell ref="A2:B2"/>
    <mergeCell ref="C2:D2"/>
    <mergeCell ref="E2:K2"/>
    <mergeCell ref="L2:S2"/>
    <mergeCell ref="T2:AA2"/>
  </mergeCells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A9163-C5CB-4A6E-814F-F80BDCC3519C}">
  <dimension ref="B1:T172"/>
  <sheetViews>
    <sheetView tabSelected="1" topLeftCell="A43" workbookViewId="0">
      <selection activeCell="S164" sqref="S164"/>
    </sheetView>
  </sheetViews>
  <sheetFormatPr baseColWidth="10" defaultColWidth="11.42578125" defaultRowHeight="15" x14ac:dyDescent="0.25"/>
  <cols>
    <col min="1" max="1" width="2.7109375" customWidth="1"/>
    <col min="2" max="2" width="53.140625" customWidth="1"/>
    <col min="3" max="3" width="9.5703125" customWidth="1"/>
    <col min="4" max="14" width="11" customWidth="1"/>
    <col min="15" max="15" width="12.42578125" customWidth="1"/>
    <col min="16" max="16" width="7.85546875" customWidth="1"/>
    <col min="17" max="17" width="12.28515625" bestFit="1" customWidth="1"/>
  </cols>
  <sheetData>
    <row r="1" spans="2:17" x14ac:dyDescent="0.25">
      <c r="B1" s="329" t="s">
        <v>77</v>
      </c>
      <c r="C1" s="329"/>
      <c r="D1" s="329"/>
      <c r="E1" s="329"/>
      <c r="F1" s="329"/>
      <c r="G1" s="329"/>
      <c r="H1" s="329"/>
      <c r="I1" s="329"/>
      <c r="J1" s="329"/>
      <c r="K1" s="329"/>
      <c r="L1" s="329"/>
      <c r="M1" s="329"/>
      <c r="N1" s="329"/>
      <c r="O1" s="329"/>
      <c r="P1" s="329"/>
    </row>
    <row r="2" spans="2:17" x14ac:dyDescent="0.25">
      <c r="B2" s="330" t="s">
        <v>91</v>
      </c>
      <c r="C2" s="330"/>
      <c r="D2" s="330"/>
      <c r="E2" s="330"/>
      <c r="F2" s="330"/>
      <c r="G2" s="330"/>
      <c r="H2" s="330"/>
      <c r="I2" s="330"/>
      <c r="J2" s="330"/>
      <c r="K2" s="330"/>
      <c r="L2" s="330"/>
      <c r="M2" s="330"/>
      <c r="N2" s="330"/>
      <c r="O2" s="330"/>
      <c r="P2" s="330"/>
    </row>
    <row r="3" spans="2:17" x14ac:dyDescent="0.25">
      <c r="B3" s="330" t="s">
        <v>0</v>
      </c>
      <c r="C3" s="330"/>
      <c r="D3" s="330"/>
      <c r="E3" s="330"/>
      <c r="F3" s="330"/>
      <c r="G3" s="330"/>
      <c r="H3" s="330"/>
      <c r="I3" s="330"/>
      <c r="J3" s="330"/>
      <c r="K3" s="330"/>
      <c r="L3" s="330"/>
      <c r="M3" s="330"/>
      <c r="N3" s="330"/>
      <c r="O3" s="330"/>
      <c r="P3" s="330"/>
    </row>
    <row r="4" spans="2:17" x14ac:dyDescent="0.25">
      <c r="B4" s="330" t="s">
        <v>291</v>
      </c>
      <c r="C4" s="330"/>
      <c r="D4" s="330"/>
      <c r="E4" s="330"/>
      <c r="F4" s="330"/>
      <c r="G4" s="330"/>
      <c r="H4" s="330"/>
      <c r="I4" s="330"/>
      <c r="J4" s="330"/>
      <c r="K4" s="330"/>
      <c r="L4" s="330"/>
      <c r="M4" s="330"/>
      <c r="N4" s="330"/>
      <c r="O4" s="330"/>
      <c r="P4" s="330"/>
    </row>
    <row r="5" spans="2:17" x14ac:dyDescent="0.25">
      <c r="B5" s="196"/>
      <c r="C5" s="40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1"/>
      <c r="P5" s="41"/>
    </row>
    <row r="6" spans="2:17" x14ac:dyDescent="0.25">
      <c r="B6" s="246" t="s">
        <v>79</v>
      </c>
      <c r="C6" s="247" t="s">
        <v>1</v>
      </c>
      <c r="D6" s="247" t="s">
        <v>127</v>
      </c>
      <c r="E6" s="247" t="s">
        <v>128</v>
      </c>
      <c r="F6" s="247" t="s">
        <v>129</v>
      </c>
      <c r="G6" s="247" t="s">
        <v>130</v>
      </c>
      <c r="H6" s="247" t="s">
        <v>131</v>
      </c>
      <c r="I6" s="247" t="s">
        <v>132</v>
      </c>
      <c r="J6" s="247" t="s">
        <v>249</v>
      </c>
      <c r="K6" s="247" t="s">
        <v>251</v>
      </c>
      <c r="L6" s="247" t="s">
        <v>254</v>
      </c>
      <c r="M6" s="247" t="s">
        <v>255</v>
      </c>
      <c r="N6" s="247" t="s">
        <v>256</v>
      </c>
      <c r="O6" s="248" t="s">
        <v>2</v>
      </c>
      <c r="P6" s="248" t="s">
        <v>234</v>
      </c>
      <c r="Q6" s="248" t="s">
        <v>319</v>
      </c>
    </row>
    <row r="7" spans="2:17" x14ac:dyDescent="0.25">
      <c r="B7" s="249" t="s">
        <v>33</v>
      </c>
      <c r="C7" s="249"/>
      <c r="D7" s="249"/>
      <c r="E7" s="249"/>
      <c r="F7" s="249"/>
      <c r="G7" s="249"/>
      <c r="H7" s="249"/>
      <c r="I7" s="249"/>
      <c r="J7" s="249"/>
      <c r="K7" s="249"/>
      <c r="L7" s="249"/>
      <c r="M7" s="249"/>
      <c r="N7" s="249"/>
      <c r="O7" s="249"/>
      <c r="P7" s="249"/>
      <c r="Q7" s="46"/>
    </row>
    <row r="8" spans="2:17" x14ac:dyDescent="0.25">
      <c r="B8" s="250" t="s">
        <v>214</v>
      </c>
      <c r="C8" s="250"/>
      <c r="D8" s="250"/>
      <c r="E8" s="250"/>
      <c r="F8" s="250"/>
      <c r="G8" s="250"/>
      <c r="H8" s="250"/>
      <c r="I8" s="250"/>
      <c r="J8" s="250"/>
      <c r="K8" s="250"/>
      <c r="L8" s="250"/>
      <c r="M8" s="250"/>
      <c r="N8" s="250"/>
      <c r="O8" s="250"/>
      <c r="P8" s="250"/>
      <c r="Q8" s="46"/>
    </row>
    <row r="9" spans="2:17" x14ac:dyDescent="0.25">
      <c r="B9" s="251" t="s">
        <v>3</v>
      </c>
      <c r="C9" s="252">
        <v>73603359</v>
      </c>
      <c r="D9" s="252">
        <v>8892438</v>
      </c>
      <c r="E9" s="252">
        <v>3258823</v>
      </c>
      <c r="F9" s="252">
        <f>+'ER AJUSTADO ENE-JUL CC 2024'!E9</f>
        <v>5262185</v>
      </c>
      <c r="G9" s="252">
        <f>+'ER AJUSTADO ENE-JUL CC 2024'!F9</f>
        <v>3824370</v>
      </c>
      <c r="H9" s="252">
        <f>+'ER AJUSTADO ENE-JUL CC 2024'!G9</f>
        <v>2928571</v>
      </c>
      <c r="I9" s="252">
        <v>5863025</v>
      </c>
      <c r="J9" s="252">
        <v>5566387</v>
      </c>
      <c r="K9" s="252">
        <v>6363865</v>
      </c>
      <c r="L9" s="252">
        <v>8692437</v>
      </c>
      <c r="M9" s="252">
        <v>16797479</v>
      </c>
      <c r="N9" s="252">
        <v>39300364</v>
      </c>
      <c r="O9" s="253">
        <f>SUM(C9:N9)</f>
        <v>180353303</v>
      </c>
      <c r="P9" s="260">
        <f>+O9/$O$44</f>
        <v>0.19579300035820923</v>
      </c>
      <c r="Q9" s="46"/>
    </row>
    <row r="10" spans="2:17" x14ac:dyDescent="0.25">
      <c r="B10" s="251" t="s">
        <v>4</v>
      </c>
      <c r="C10" s="252">
        <v>9226600</v>
      </c>
      <c r="D10" s="252">
        <v>9226600</v>
      </c>
      <c r="E10" s="252">
        <v>9226600</v>
      </c>
      <c r="F10" s="252">
        <f>+'ER AJUSTADO ENE-JUL CC 2024'!E10</f>
        <v>9226600</v>
      </c>
      <c r="G10" s="252">
        <f>+'ER AJUSTADO ENE-JUL CC 2024'!F10</f>
        <v>9226600</v>
      </c>
      <c r="H10" s="252">
        <f>+'ER AJUSTADO ENE-JUL CC 2024'!G10</f>
        <v>9226600</v>
      </c>
      <c r="I10" s="252">
        <v>9226600</v>
      </c>
      <c r="J10" s="252">
        <v>9445600</v>
      </c>
      <c r="K10" s="252">
        <v>9920000</v>
      </c>
      <c r="L10" s="252">
        <v>10461400</v>
      </c>
      <c r="M10" s="252">
        <v>10190400</v>
      </c>
      <c r="N10" s="252">
        <v>10190400</v>
      </c>
      <c r="O10" s="253">
        <f>SUM(C10:N10)</f>
        <v>114794000</v>
      </c>
      <c r="P10" s="260">
        <f>+O10/$O$44</f>
        <v>0.12462129225945072</v>
      </c>
      <c r="Q10" s="46"/>
    </row>
    <row r="11" spans="2:17" x14ac:dyDescent="0.25">
      <c r="B11" s="254" t="s">
        <v>215</v>
      </c>
      <c r="C11" s="255">
        <f>+C9+C10</f>
        <v>82829959</v>
      </c>
      <c r="D11" s="255">
        <f t="shared" ref="D11:N11" si="0">+D9+D10</f>
        <v>18119038</v>
      </c>
      <c r="E11" s="255">
        <f t="shared" si="0"/>
        <v>12485423</v>
      </c>
      <c r="F11" s="255">
        <f t="shared" si="0"/>
        <v>14488785</v>
      </c>
      <c r="G11" s="255">
        <f t="shared" si="0"/>
        <v>13050970</v>
      </c>
      <c r="H11" s="255">
        <f t="shared" si="0"/>
        <v>12155171</v>
      </c>
      <c r="I11" s="255">
        <f t="shared" si="0"/>
        <v>15089625</v>
      </c>
      <c r="J11" s="255">
        <f t="shared" si="0"/>
        <v>15011987</v>
      </c>
      <c r="K11" s="255">
        <f t="shared" si="0"/>
        <v>16283865</v>
      </c>
      <c r="L11" s="255">
        <f t="shared" si="0"/>
        <v>19153837</v>
      </c>
      <c r="M11" s="255">
        <f t="shared" si="0"/>
        <v>26987879</v>
      </c>
      <c r="N11" s="255">
        <f t="shared" si="0"/>
        <v>49490764</v>
      </c>
      <c r="O11" s="256">
        <f t="shared" ref="O11" si="1">SUM(O9:O10)</f>
        <v>295147303</v>
      </c>
      <c r="P11" s="257">
        <f>SUM(P9:P10)</f>
        <v>0.32041429261765997</v>
      </c>
      <c r="Q11" s="46"/>
    </row>
    <row r="12" spans="2:17" x14ac:dyDescent="0.25">
      <c r="B12" s="250" t="s">
        <v>31</v>
      </c>
      <c r="C12" s="258"/>
      <c r="D12" s="258"/>
      <c r="E12" s="258"/>
      <c r="F12" s="258"/>
      <c r="G12" s="258"/>
      <c r="H12" s="258"/>
      <c r="I12" s="258"/>
      <c r="J12" s="258"/>
      <c r="K12" s="258"/>
      <c r="L12" s="258"/>
      <c r="M12" s="258"/>
      <c r="N12" s="258"/>
      <c r="O12" s="250"/>
      <c r="P12" s="250"/>
      <c r="Q12" s="46"/>
    </row>
    <row r="13" spans="2:17" x14ac:dyDescent="0.25">
      <c r="B13" s="251" t="s">
        <v>76</v>
      </c>
      <c r="C13" s="259">
        <v>510000</v>
      </c>
      <c r="D13" s="259">
        <v>585000</v>
      </c>
      <c r="E13" s="259">
        <v>595000</v>
      </c>
      <c r="F13" s="259">
        <v>485000</v>
      </c>
      <c r="G13" s="259">
        <f>+'ER AJUSTADO ENE-JUL CC 2024'!F13</f>
        <v>505000</v>
      </c>
      <c r="H13" s="259">
        <v>515000</v>
      </c>
      <c r="I13" s="259">
        <v>1600000</v>
      </c>
      <c r="J13" s="259">
        <v>1925000</v>
      </c>
      <c r="K13" s="259">
        <v>505000</v>
      </c>
      <c r="L13" s="259">
        <v>545000</v>
      </c>
      <c r="M13" s="259">
        <v>545000</v>
      </c>
      <c r="N13" s="259">
        <v>655000</v>
      </c>
      <c r="O13" s="253">
        <f>SUM(C13:N13)</f>
        <v>8970000</v>
      </c>
      <c r="P13" s="260">
        <f t="shared" ref="P13:P31" si="2">+O13/$O$44</f>
        <v>9.7379043466319926E-3</v>
      </c>
      <c r="Q13" s="46"/>
    </row>
    <row r="14" spans="2:17" x14ac:dyDescent="0.25">
      <c r="B14" s="251" t="s">
        <v>102</v>
      </c>
      <c r="C14" s="259"/>
      <c r="D14" s="259">
        <v>180000</v>
      </c>
      <c r="E14" s="259">
        <v>810000</v>
      </c>
      <c r="F14" s="259"/>
      <c r="G14" s="259"/>
      <c r="H14" s="259">
        <v>90000</v>
      </c>
      <c r="I14" s="259"/>
      <c r="J14" s="259"/>
      <c r="K14" s="259"/>
      <c r="L14" s="259"/>
      <c r="M14" s="259"/>
      <c r="N14" s="259"/>
      <c r="O14" s="253">
        <f t="shared" ref="O14:O31" si="3">SUM(C14:N14)</f>
        <v>1080000</v>
      </c>
      <c r="P14" s="260">
        <f t="shared" si="2"/>
        <v>1.1724567106312768E-3</v>
      </c>
      <c r="Q14" s="46"/>
    </row>
    <row r="15" spans="2:17" x14ac:dyDescent="0.25">
      <c r="B15" s="251" t="s">
        <v>114</v>
      </c>
      <c r="C15" s="259"/>
      <c r="D15" s="259"/>
      <c r="E15" s="259"/>
      <c r="F15" s="259"/>
      <c r="G15" s="259"/>
      <c r="H15" s="259"/>
      <c r="I15" s="259">
        <v>1805000</v>
      </c>
      <c r="J15" s="259">
        <v>4235000</v>
      </c>
      <c r="K15" s="259">
        <v>3215000</v>
      </c>
      <c r="L15" s="259">
        <v>5390000</v>
      </c>
      <c r="M15" s="259">
        <v>2100000</v>
      </c>
      <c r="N15" s="259"/>
      <c r="O15" s="253">
        <f t="shared" si="3"/>
        <v>16745000</v>
      </c>
      <c r="P15" s="260">
        <f t="shared" si="2"/>
        <v>1.8178507055111787E-2</v>
      </c>
      <c r="Q15" s="46"/>
    </row>
    <row r="16" spans="2:17" x14ac:dyDescent="0.25">
      <c r="B16" s="251" t="s">
        <v>293</v>
      </c>
      <c r="C16" s="259"/>
      <c r="D16" s="259"/>
      <c r="E16" s="259"/>
      <c r="F16" s="259"/>
      <c r="G16" s="259"/>
      <c r="H16" s="259">
        <v>1970000</v>
      </c>
      <c r="I16" s="259"/>
      <c r="J16" s="259"/>
      <c r="K16" s="259"/>
      <c r="L16" s="259"/>
      <c r="M16" s="259">
        <v>2100000</v>
      </c>
      <c r="N16" s="259"/>
      <c r="O16" s="253">
        <f t="shared" si="3"/>
        <v>4070000</v>
      </c>
      <c r="P16" s="260">
        <f t="shared" si="2"/>
        <v>4.4184248261752747E-3</v>
      </c>
      <c r="Q16" s="46"/>
    </row>
    <row r="17" spans="2:20" x14ac:dyDescent="0.25">
      <c r="B17" s="251" t="s">
        <v>66</v>
      </c>
      <c r="C17" s="259">
        <v>676500</v>
      </c>
      <c r="D17" s="259"/>
      <c r="E17" s="259">
        <v>738900</v>
      </c>
      <c r="F17" s="259">
        <v>762400</v>
      </c>
      <c r="G17" s="259">
        <f>+'ER AJUSTADO ENE-JUL CC 2024'!F17</f>
        <v>824800</v>
      </c>
      <c r="H17" s="259">
        <v>594800</v>
      </c>
      <c r="I17" s="259">
        <v>114000</v>
      </c>
      <c r="J17" s="259">
        <v>339800</v>
      </c>
      <c r="K17" s="259">
        <v>623000</v>
      </c>
      <c r="L17" s="259">
        <v>280200</v>
      </c>
      <c r="M17" s="259">
        <v>538000</v>
      </c>
      <c r="N17" s="259">
        <v>215700</v>
      </c>
      <c r="O17" s="253">
        <f t="shared" si="3"/>
        <v>5708100</v>
      </c>
      <c r="P17" s="260">
        <f t="shared" si="2"/>
        <v>6.1967593981059176E-3</v>
      </c>
      <c r="Q17" s="46"/>
    </row>
    <row r="18" spans="2:20" x14ac:dyDescent="0.25">
      <c r="B18" s="251" t="s">
        <v>258</v>
      </c>
      <c r="C18" s="259">
        <v>3760000</v>
      </c>
      <c r="D18" s="259">
        <v>60000</v>
      </c>
      <c r="E18" s="259"/>
      <c r="F18" s="259"/>
      <c r="G18" s="259"/>
      <c r="H18" s="259"/>
      <c r="I18" s="259"/>
      <c r="J18" s="259"/>
      <c r="K18" s="259"/>
      <c r="L18" s="259"/>
      <c r="M18" s="259"/>
      <c r="N18" s="259"/>
      <c r="O18" s="253">
        <f t="shared" si="3"/>
        <v>3820000</v>
      </c>
      <c r="P18" s="260">
        <f t="shared" si="2"/>
        <v>4.1470228098254422E-3</v>
      </c>
      <c r="Q18" s="311"/>
    </row>
    <row r="19" spans="2:20" x14ac:dyDescent="0.25">
      <c r="B19" s="251" t="s">
        <v>152</v>
      </c>
      <c r="C19" s="259"/>
      <c r="D19" s="259"/>
      <c r="E19" s="259"/>
      <c r="F19" s="259"/>
      <c r="G19" s="259"/>
      <c r="H19" s="259"/>
      <c r="I19" s="259"/>
      <c r="J19" s="259"/>
      <c r="K19" s="259"/>
      <c r="L19" s="259"/>
      <c r="M19" s="259"/>
      <c r="N19" s="259"/>
      <c r="O19" s="253">
        <f t="shared" si="3"/>
        <v>0</v>
      </c>
      <c r="P19" s="260">
        <f t="shared" si="2"/>
        <v>0</v>
      </c>
      <c r="Q19" s="46"/>
    </row>
    <row r="20" spans="2:20" x14ac:dyDescent="0.25">
      <c r="B20" s="251" t="s">
        <v>80</v>
      </c>
      <c r="C20" s="259"/>
      <c r="D20" s="259"/>
      <c r="E20" s="259"/>
      <c r="F20" s="259"/>
      <c r="G20" s="259"/>
      <c r="H20" s="259"/>
      <c r="I20" s="259"/>
      <c r="J20" s="259"/>
      <c r="K20" s="259"/>
      <c r="L20" s="259"/>
      <c r="M20" s="259"/>
      <c r="N20" s="259"/>
      <c r="O20" s="253">
        <f t="shared" si="3"/>
        <v>0</v>
      </c>
      <c r="P20" s="260">
        <f t="shared" si="2"/>
        <v>0</v>
      </c>
      <c r="Q20" s="46"/>
    </row>
    <row r="21" spans="2:20" x14ac:dyDescent="0.25">
      <c r="B21" s="251" t="s">
        <v>101</v>
      </c>
      <c r="C21" s="259"/>
      <c r="D21" s="259"/>
      <c r="E21" s="259"/>
      <c r="F21" s="259"/>
      <c r="G21" s="259"/>
      <c r="H21" s="259"/>
      <c r="I21" s="259"/>
      <c r="J21" s="259"/>
      <c r="K21" s="259"/>
      <c r="L21" s="259"/>
      <c r="M21" s="259"/>
      <c r="N21" s="259"/>
      <c r="O21" s="253">
        <f t="shared" si="3"/>
        <v>0</v>
      </c>
      <c r="P21" s="260">
        <f t="shared" si="2"/>
        <v>0</v>
      </c>
      <c r="Q21" s="46"/>
    </row>
    <row r="22" spans="2:20" x14ac:dyDescent="0.25">
      <c r="B22" s="251" t="s">
        <v>248</v>
      </c>
      <c r="C22" s="259"/>
      <c r="D22" s="259"/>
      <c r="E22" s="259"/>
      <c r="F22" s="259"/>
      <c r="G22" s="259"/>
      <c r="H22" s="259"/>
      <c r="I22" s="259"/>
      <c r="J22" s="259"/>
      <c r="K22" s="259"/>
      <c r="L22" s="259"/>
      <c r="M22" s="259"/>
      <c r="N22" s="259"/>
      <c r="O22" s="253">
        <f t="shared" si="3"/>
        <v>0</v>
      </c>
      <c r="P22" s="260">
        <f t="shared" si="2"/>
        <v>0</v>
      </c>
      <c r="Q22" s="46"/>
    </row>
    <row r="23" spans="2:20" x14ac:dyDescent="0.25">
      <c r="B23" s="251" t="s">
        <v>63</v>
      </c>
      <c r="C23" s="259"/>
      <c r="D23" s="259"/>
      <c r="E23" s="259"/>
      <c r="F23" s="259"/>
      <c r="G23" s="259"/>
      <c r="H23" s="259"/>
      <c r="I23" s="259"/>
      <c r="J23" s="259"/>
      <c r="K23" s="259"/>
      <c r="L23" s="259"/>
      <c r="M23" s="259"/>
      <c r="N23" s="259"/>
      <c r="O23" s="253">
        <f t="shared" si="3"/>
        <v>0</v>
      </c>
      <c r="P23" s="260">
        <f t="shared" si="2"/>
        <v>0</v>
      </c>
      <c r="Q23" s="46"/>
    </row>
    <row r="24" spans="2:20" x14ac:dyDescent="0.25">
      <c r="B24" s="251" t="s">
        <v>29</v>
      </c>
      <c r="C24" s="259"/>
      <c r="D24" s="259"/>
      <c r="E24" s="259"/>
      <c r="F24" s="259"/>
      <c r="G24" s="259"/>
      <c r="H24" s="259"/>
      <c r="I24" s="259"/>
      <c r="J24" s="259"/>
      <c r="K24" s="259"/>
      <c r="L24" s="259"/>
      <c r="M24" s="259"/>
      <c r="N24" s="259">
        <v>70000</v>
      </c>
      <c r="O24" s="253">
        <f t="shared" si="3"/>
        <v>70000</v>
      </c>
      <c r="P24" s="260">
        <f t="shared" si="2"/>
        <v>7.5992564577953128E-5</v>
      </c>
      <c r="Q24" s="46"/>
    </row>
    <row r="25" spans="2:20" x14ac:dyDescent="0.25">
      <c r="B25" s="251" t="s">
        <v>30</v>
      </c>
      <c r="C25" s="259"/>
      <c r="D25" s="259">
        <v>1025000</v>
      </c>
      <c r="E25" s="259">
        <v>582500</v>
      </c>
      <c r="F25" s="259">
        <v>3508000</v>
      </c>
      <c r="G25" s="259">
        <f>+'ER AJUSTADO ENE-JUL CC 2024'!F25</f>
        <v>988500</v>
      </c>
      <c r="H25" s="259">
        <v>1342000</v>
      </c>
      <c r="I25" s="259">
        <v>1436000</v>
      </c>
      <c r="J25" s="259">
        <v>977000</v>
      </c>
      <c r="K25" s="259">
        <v>1429000</v>
      </c>
      <c r="L25" s="259">
        <v>2091000</v>
      </c>
      <c r="M25" s="259">
        <v>2477000</v>
      </c>
      <c r="N25" s="259">
        <v>845000</v>
      </c>
      <c r="O25" s="253">
        <f t="shared" si="3"/>
        <v>16701000</v>
      </c>
      <c r="P25" s="260">
        <f t="shared" si="2"/>
        <v>1.8130740300234215E-2</v>
      </c>
      <c r="Q25" s="46"/>
    </row>
    <row r="26" spans="2:20" x14ac:dyDescent="0.25">
      <c r="B26" s="251" t="s">
        <v>330</v>
      </c>
      <c r="C26" s="259">
        <v>0</v>
      </c>
      <c r="D26" s="259">
        <v>0</v>
      </c>
      <c r="E26" s="259">
        <v>0</v>
      </c>
      <c r="F26" s="259">
        <v>0</v>
      </c>
      <c r="G26" s="259">
        <v>0</v>
      </c>
      <c r="H26" s="259">
        <v>0</v>
      </c>
      <c r="I26" s="259">
        <v>0</v>
      </c>
      <c r="J26" s="259">
        <v>0</v>
      </c>
      <c r="K26" s="259">
        <v>2660000</v>
      </c>
      <c r="L26" s="259">
        <v>6920000</v>
      </c>
      <c r="M26" s="259"/>
      <c r="N26" s="259"/>
      <c r="O26" s="253">
        <f t="shared" si="3"/>
        <v>9580000</v>
      </c>
      <c r="P26" s="260">
        <f t="shared" si="2"/>
        <v>1.0400125266525584E-2</v>
      </c>
      <c r="Q26" s="46"/>
    </row>
    <row r="27" spans="2:20" x14ac:dyDescent="0.25">
      <c r="B27" s="251" t="s">
        <v>107</v>
      </c>
      <c r="C27" s="259">
        <v>732000</v>
      </c>
      <c r="D27" s="259">
        <v>4350000</v>
      </c>
      <c r="E27" s="259">
        <v>2956000</v>
      </c>
      <c r="F27" s="259">
        <v>2911000</v>
      </c>
      <c r="G27" s="259">
        <f>+'ER AJUSTADO ENE-JUL CC 2024'!F26</f>
        <v>3570000</v>
      </c>
      <c r="H27" s="259">
        <v>3310000</v>
      </c>
      <c r="I27" s="259">
        <v>3435000</v>
      </c>
      <c r="J27" s="259">
        <v>5155000</v>
      </c>
      <c r="K27" s="259">
        <v>4215000</v>
      </c>
      <c r="L27" s="259">
        <v>4800000</v>
      </c>
      <c r="M27" s="259">
        <v>2915000</v>
      </c>
      <c r="N27" s="259">
        <v>5246000</v>
      </c>
      <c r="O27" s="253">
        <f t="shared" si="3"/>
        <v>43595000</v>
      </c>
      <c r="P27" s="260">
        <f t="shared" si="2"/>
        <v>4.7327083611083808E-2</v>
      </c>
      <c r="Q27" s="46"/>
    </row>
    <row r="28" spans="2:20" x14ac:dyDescent="0.25">
      <c r="B28" s="251" t="s">
        <v>338</v>
      </c>
      <c r="C28" s="259">
        <v>0</v>
      </c>
      <c r="D28" s="259">
        <v>0</v>
      </c>
      <c r="E28" s="259">
        <v>0</v>
      </c>
      <c r="F28" s="259">
        <v>0</v>
      </c>
      <c r="G28" s="259">
        <v>0</v>
      </c>
      <c r="H28" s="259">
        <v>0</v>
      </c>
      <c r="I28" s="259">
        <v>0</v>
      </c>
      <c r="J28" s="259">
        <v>0</v>
      </c>
      <c r="K28" s="259">
        <v>0</v>
      </c>
      <c r="L28" s="259">
        <v>40000000</v>
      </c>
      <c r="M28" s="259"/>
      <c r="N28" s="259"/>
      <c r="O28" s="253">
        <f t="shared" si="3"/>
        <v>40000000</v>
      </c>
      <c r="P28" s="260">
        <f t="shared" si="2"/>
        <v>4.3424322615973211E-2</v>
      </c>
      <c r="Q28" s="46"/>
    </row>
    <row r="29" spans="2:20" x14ac:dyDescent="0.25">
      <c r="B29" s="251" t="s">
        <v>250</v>
      </c>
      <c r="C29" s="259"/>
      <c r="D29" s="259">
        <v>10557000</v>
      </c>
      <c r="E29" s="259">
        <v>10251000</v>
      </c>
      <c r="F29" s="259">
        <v>10557000</v>
      </c>
      <c r="G29" s="259">
        <f>+'ER AJUSTADO ENE-JUL CC 2024'!F27</f>
        <v>10404000</v>
      </c>
      <c r="H29" s="259">
        <v>10557000</v>
      </c>
      <c r="I29" s="259">
        <v>9945000</v>
      </c>
      <c r="J29" s="259">
        <v>10404000</v>
      </c>
      <c r="K29" s="259">
        <v>10557000</v>
      </c>
      <c r="L29" s="259">
        <f>10251000+530000</f>
        <v>10781000</v>
      </c>
      <c r="M29" s="259">
        <v>10147000</v>
      </c>
      <c r="N29" s="259">
        <v>10147000</v>
      </c>
      <c r="O29" s="253">
        <f t="shared" si="3"/>
        <v>114307000</v>
      </c>
      <c r="P29" s="260">
        <f t="shared" si="2"/>
        <v>0.12409260113160125</v>
      </c>
      <c r="Q29" s="312"/>
    </row>
    <row r="30" spans="2:20" x14ac:dyDescent="0.25">
      <c r="B30" s="251" t="s">
        <v>75</v>
      </c>
      <c r="C30" s="259"/>
      <c r="D30" s="259"/>
      <c r="E30" s="259"/>
      <c r="F30" s="259"/>
      <c r="G30" s="259"/>
      <c r="H30" s="259"/>
      <c r="I30" s="259"/>
      <c r="J30" s="259"/>
      <c r="K30" s="259"/>
      <c r="L30" s="259"/>
      <c r="M30" s="259"/>
      <c r="N30" s="259"/>
      <c r="O30" s="253">
        <f t="shared" si="3"/>
        <v>0</v>
      </c>
      <c r="P30" s="260">
        <f t="shared" si="2"/>
        <v>0</v>
      </c>
      <c r="Q30" s="46"/>
    </row>
    <row r="31" spans="2:20" x14ac:dyDescent="0.25">
      <c r="B31" s="251" t="s">
        <v>70</v>
      </c>
      <c r="C31" s="259">
        <v>100000</v>
      </c>
      <c r="D31" s="259"/>
      <c r="E31" s="259">
        <v>1500000</v>
      </c>
      <c r="F31" s="259"/>
      <c r="G31" s="259"/>
      <c r="H31" s="259"/>
      <c r="I31" s="259"/>
      <c r="J31" s="259"/>
      <c r="K31" s="259"/>
      <c r="L31" s="259">
        <v>0</v>
      </c>
      <c r="M31" s="259"/>
      <c r="N31" s="259"/>
      <c r="O31" s="253">
        <f t="shared" si="3"/>
        <v>1600000</v>
      </c>
      <c r="P31" s="260">
        <f t="shared" si="2"/>
        <v>1.7369729046389285E-3</v>
      </c>
      <c r="Q31" s="46"/>
    </row>
    <row r="32" spans="2:20" x14ac:dyDescent="0.25">
      <c r="B32" s="254" t="s">
        <v>32</v>
      </c>
      <c r="C32" s="255">
        <f t="shared" ref="C32:O32" si="4">SUM(C13:C31)</f>
        <v>5778500</v>
      </c>
      <c r="D32" s="255">
        <f t="shared" si="4"/>
        <v>16757000</v>
      </c>
      <c r="E32" s="255">
        <f t="shared" si="4"/>
        <v>17433400</v>
      </c>
      <c r="F32" s="255">
        <f t="shared" si="4"/>
        <v>18223400</v>
      </c>
      <c r="G32" s="255">
        <f t="shared" si="4"/>
        <v>16292300</v>
      </c>
      <c r="H32" s="255">
        <f t="shared" si="4"/>
        <v>18378800</v>
      </c>
      <c r="I32" s="255">
        <f t="shared" si="4"/>
        <v>18335000</v>
      </c>
      <c r="J32" s="255">
        <f t="shared" si="4"/>
        <v>23035800</v>
      </c>
      <c r="K32" s="255">
        <f t="shared" si="4"/>
        <v>23204000</v>
      </c>
      <c r="L32" s="255">
        <f t="shared" si="4"/>
        <v>70807200</v>
      </c>
      <c r="M32" s="255">
        <f t="shared" si="4"/>
        <v>20822000</v>
      </c>
      <c r="N32" s="255">
        <f t="shared" si="4"/>
        <v>17178700</v>
      </c>
      <c r="O32" s="255">
        <f t="shared" si="4"/>
        <v>266246100</v>
      </c>
      <c r="P32" s="257">
        <f>SUM(P13:P31)</f>
        <v>0.28903891354111666</v>
      </c>
      <c r="Q32" s="46"/>
      <c r="T32" s="162"/>
    </row>
    <row r="33" spans="2:20" x14ac:dyDescent="0.25">
      <c r="B33" s="250" t="s">
        <v>216</v>
      </c>
      <c r="C33" s="258"/>
      <c r="D33" s="258"/>
      <c r="E33" s="258"/>
      <c r="F33" s="258"/>
      <c r="G33" s="258"/>
      <c r="H33" s="258"/>
      <c r="I33" s="258"/>
      <c r="J33" s="258"/>
      <c r="K33" s="258"/>
      <c r="L33" s="258"/>
      <c r="M33" s="258"/>
      <c r="N33" s="258"/>
      <c r="O33" s="250"/>
      <c r="P33" s="250"/>
      <c r="Q33" s="46"/>
      <c r="T33" s="162"/>
    </row>
    <row r="34" spans="2:20" x14ac:dyDescent="0.25">
      <c r="B34" s="251" t="s">
        <v>337</v>
      </c>
      <c r="C34" s="259"/>
      <c r="D34" s="261"/>
      <c r="E34" s="259"/>
      <c r="F34" s="259"/>
      <c r="G34" s="259"/>
      <c r="H34" s="259"/>
      <c r="I34" s="259">
        <v>5200000</v>
      </c>
      <c r="J34" s="259"/>
      <c r="K34" s="259"/>
      <c r="L34" s="259">
        <v>3000000</v>
      </c>
      <c r="M34" s="259">
        <v>0</v>
      </c>
      <c r="N34" s="259"/>
      <c r="O34" s="253">
        <f>SUM(C34:N34)</f>
        <v>8200000</v>
      </c>
      <c r="P34" s="260">
        <f>+O34/$O$44</f>
        <v>8.9019861362745079E-3</v>
      </c>
      <c r="Q34" s="46"/>
      <c r="T34" s="162"/>
    </row>
    <row r="35" spans="2:20" x14ac:dyDescent="0.25">
      <c r="B35" s="251" t="s">
        <v>357</v>
      </c>
      <c r="C35" s="259"/>
      <c r="D35" s="261"/>
      <c r="E35" s="259"/>
      <c r="F35" s="259"/>
      <c r="G35" s="259"/>
      <c r="H35" s="259"/>
      <c r="I35" s="259"/>
      <c r="J35" s="259"/>
      <c r="K35" s="259"/>
      <c r="L35" s="259"/>
      <c r="M35" s="259"/>
      <c r="N35" s="259">
        <v>10000000</v>
      </c>
      <c r="O35" s="253">
        <f t="shared" ref="O35:O36" si="5">SUM(C35:N35)</f>
        <v>10000000</v>
      </c>
      <c r="P35" s="260"/>
      <c r="Q35" s="46"/>
      <c r="T35" s="162"/>
    </row>
    <row r="36" spans="2:20" x14ac:dyDescent="0.25">
      <c r="B36" s="251" t="s">
        <v>217</v>
      </c>
      <c r="C36" s="259">
        <v>0</v>
      </c>
      <c r="D36" s="261">
        <v>0</v>
      </c>
      <c r="E36" s="259">
        <v>56667231</v>
      </c>
      <c r="F36" s="259">
        <f>+'ER AJUSTADO ENE-JUL CC 2024'!E32</f>
        <v>83617208</v>
      </c>
      <c r="G36" s="259">
        <f>+'ER AJUSTADO ENE-JUL CC 2024'!F32</f>
        <v>4952876</v>
      </c>
      <c r="H36" s="259">
        <v>40774663</v>
      </c>
      <c r="I36" s="259">
        <v>36965872</v>
      </c>
      <c r="J36" s="259">
        <v>9126508</v>
      </c>
      <c r="K36" s="259">
        <v>55218889</v>
      </c>
      <c r="L36" s="259">
        <v>2185600</v>
      </c>
      <c r="M36" s="259">
        <v>27379524</v>
      </c>
      <c r="N36" s="259">
        <v>10008322</v>
      </c>
      <c r="O36" s="253">
        <f t="shared" si="5"/>
        <v>326896693</v>
      </c>
      <c r="P36" s="260">
        <f>+O36/$O$44</f>
        <v>0.35488168647316881</v>
      </c>
      <c r="Q36" s="46"/>
      <c r="T36" s="162"/>
    </row>
    <row r="37" spans="2:20" x14ac:dyDescent="0.25">
      <c r="B37" s="254" t="s">
        <v>241</v>
      </c>
      <c r="C37" s="255">
        <f t="shared" ref="C37:H37" si="6">SUM(C34:C36)</f>
        <v>0</v>
      </c>
      <c r="D37" s="255">
        <f t="shared" si="6"/>
        <v>0</v>
      </c>
      <c r="E37" s="255">
        <f t="shared" si="6"/>
        <v>56667231</v>
      </c>
      <c r="F37" s="255">
        <f t="shared" si="6"/>
        <v>83617208</v>
      </c>
      <c r="G37" s="255">
        <f t="shared" si="6"/>
        <v>4952876</v>
      </c>
      <c r="H37" s="255">
        <f t="shared" si="6"/>
        <v>40774663</v>
      </c>
      <c r="I37" s="255">
        <f>SUM(I34:I36)</f>
        <v>42165872</v>
      </c>
      <c r="J37" s="255">
        <f t="shared" ref="J37" si="7">SUM(J34:J36)</f>
        <v>9126508</v>
      </c>
      <c r="K37" s="255">
        <f t="shared" ref="K37" si="8">SUM(K34:K36)</f>
        <v>55218889</v>
      </c>
      <c r="L37" s="255">
        <f t="shared" ref="L37" si="9">SUM(L34:L36)</f>
        <v>5185600</v>
      </c>
      <c r="M37" s="255">
        <f t="shared" ref="M37" si="10">SUM(M34:M36)</f>
        <v>27379524</v>
      </c>
      <c r="N37" s="255">
        <f t="shared" ref="N37" si="11">SUM(N34:N36)</f>
        <v>20008322</v>
      </c>
      <c r="O37" s="255">
        <f>SUM(O34:O36)</f>
        <v>345096693</v>
      </c>
      <c r="P37" s="257">
        <f>+O37/O44</f>
        <v>0.37463975326343663</v>
      </c>
      <c r="Q37" s="46"/>
    </row>
    <row r="38" spans="2:20" x14ac:dyDescent="0.25">
      <c r="B38" s="250" t="s">
        <v>218</v>
      </c>
      <c r="C38" s="258"/>
      <c r="D38" s="258"/>
      <c r="E38" s="258"/>
      <c r="F38" s="258"/>
      <c r="G38" s="258"/>
      <c r="H38" s="258"/>
      <c r="I38" s="258"/>
      <c r="J38" s="258"/>
      <c r="K38" s="258"/>
      <c r="L38" s="258"/>
      <c r="M38" s="258"/>
      <c r="N38" s="258"/>
      <c r="O38" s="250"/>
      <c r="P38" s="250"/>
      <c r="Q38" s="46"/>
    </row>
    <row r="39" spans="2:20" x14ac:dyDescent="0.25">
      <c r="B39" s="251" t="s">
        <v>5</v>
      </c>
      <c r="C39" s="259">
        <v>649746</v>
      </c>
      <c r="D39" s="259">
        <v>686175</v>
      </c>
      <c r="E39" s="259">
        <v>546968</v>
      </c>
      <c r="F39" s="259">
        <v>147452</v>
      </c>
      <c r="G39" s="259">
        <f>+'ER AJUSTADO ENE-JUL CC 2024'!F35</f>
        <v>160593</v>
      </c>
      <c r="H39" s="259">
        <v>231923</v>
      </c>
      <c r="I39" s="259">
        <v>363033</v>
      </c>
      <c r="J39" s="259">
        <v>479523</v>
      </c>
      <c r="K39" s="259">
        <v>10372199</v>
      </c>
      <c r="L39" s="259">
        <v>228454</v>
      </c>
      <c r="M39" s="259">
        <v>438716</v>
      </c>
      <c r="N39" s="259">
        <v>237861</v>
      </c>
      <c r="O39" s="262">
        <f>SUM(C39:N39)</f>
        <v>14542643</v>
      </c>
      <c r="P39" s="260">
        <f t="shared" ref="P39:P42" si="12">+O39/$O$44</f>
        <v>1.5787610533023112E-2</v>
      </c>
      <c r="Q39" s="46"/>
      <c r="T39" s="162"/>
    </row>
    <row r="40" spans="2:20" x14ac:dyDescent="0.25">
      <c r="B40" s="251" t="s">
        <v>53</v>
      </c>
      <c r="C40" s="259"/>
      <c r="D40" s="259"/>
      <c r="E40" s="259"/>
      <c r="F40" s="259">
        <v>2000</v>
      </c>
      <c r="G40" s="259"/>
      <c r="H40" s="259"/>
      <c r="I40" s="259"/>
      <c r="J40" s="259"/>
      <c r="K40" s="259"/>
      <c r="L40" s="259">
        <v>0</v>
      </c>
      <c r="M40" s="259"/>
      <c r="N40" s="259"/>
      <c r="O40" s="262">
        <f t="shared" ref="O40:O42" si="13">SUM(C40:N40)</f>
        <v>2000</v>
      </c>
      <c r="P40" s="260">
        <f t="shared" si="12"/>
        <v>2.1712161307986605E-6</v>
      </c>
      <c r="Q40" s="46"/>
    </row>
    <row r="41" spans="2:20" x14ac:dyDescent="0.25">
      <c r="B41" s="251" t="s">
        <v>113</v>
      </c>
      <c r="C41" s="259"/>
      <c r="D41" s="259"/>
      <c r="E41" s="259"/>
      <c r="F41" s="259">
        <v>108000</v>
      </c>
      <c r="G41" s="259"/>
      <c r="H41" s="259"/>
      <c r="I41" s="259"/>
      <c r="J41" s="259"/>
      <c r="K41" s="259"/>
      <c r="L41" s="259">
        <v>0</v>
      </c>
      <c r="M41" s="259"/>
      <c r="N41" s="259"/>
      <c r="O41" s="262">
        <f t="shared" si="13"/>
        <v>108000</v>
      </c>
      <c r="P41" s="260">
        <f t="shared" si="12"/>
        <v>1.1724567106312767E-4</v>
      </c>
      <c r="Q41" s="46"/>
    </row>
    <row r="42" spans="2:20" x14ac:dyDescent="0.25">
      <c r="B42" s="251" t="s">
        <v>219</v>
      </c>
      <c r="C42" s="259"/>
      <c r="D42" s="259">
        <v>0.72</v>
      </c>
      <c r="E42" s="259">
        <v>9</v>
      </c>
      <c r="F42" s="259"/>
      <c r="G42" s="259"/>
      <c r="H42" s="259"/>
      <c r="I42" s="259">
        <v>2</v>
      </c>
      <c r="J42" s="259"/>
      <c r="K42" s="259">
        <v>-0.6</v>
      </c>
      <c r="L42" s="259">
        <v>0</v>
      </c>
      <c r="M42" s="259"/>
      <c r="N42" s="259">
        <v>1</v>
      </c>
      <c r="O42" s="262">
        <f t="shared" si="13"/>
        <v>12.120000000000001</v>
      </c>
      <c r="P42" s="260">
        <f t="shared" si="12"/>
        <v>1.3157569752639884E-8</v>
      </c>
      <c r="Q42" s="46"/>
    </row>
    <row r="43" spans="2:20" x14ac:dyDescent="0.25">
      <c r="B43" s="254" t="s">
        <v>25</v>
      </c>
      <c r="C43" s="255">
        <f t="shared" ref="C43:N43" si="14">SUM(C39:C42)</f>
        <v>649746</v>
      </c>
      <c r="D43" s="255">
        <f t="shared" si="14"/>
        <v>686175.72</v>
      </c>
      <c r="E43" s="255">
        <f t="shared" si="14"/>
        <v>546977</v>
      </c>
      <c r="F43" s="255">
        <f t="shared" si="14"/>
        <v>257452</v>
      </c>
      <c r="G43" s="255">
        <f t="shared" si="14"/>
        <v>160593</v>
      </c>
      <c r="H43" s="255">
        <f t="shared" si="14"/>
        <v>231923</v>
      </c>
      <c r="I43" s="255">
        <f t="shared" si="14"/>
        <v>363035</v>
      </c>
      <c r="J43" s="255">
        <f t="shared" si="14"/>
        <v>479523</v>
      </c>
      <c r="K43" s="255">
        <f t="shared" si="14"/>
        <v>10372198.4</v>
      </c>
      <c r="L43" s="255">
        <f t="shared" si="14"/>
        <v>228454</v>
      </c>
      <c r="M43" s="255">
        <f t="shared" si="14"/>
        <v>438716</v>
      </c>
      <c r="N43" s="255">
        <f t="shared" si="14"/>
        <v>237862</v>
      </c>
      <c r="O43" s="255">
        <f>SUM(O39:O42)</f>
        <v>14652655.119999999</v>
      </c>
      <c r="P43" s="257">
        <f>SUM(P39:P42)</f>
        <v>1.5907040577786791E-2</v>
      </c>
      <c r="Q43" s="46"/>
    </row>
    <row r="44" spans="2:20" x14ac:dyDescent="0.25">
      <c r="B44" s="263" t="s">
        <v>35</v>
      </c>
      <c r="C44" s="264">
        <f t="shared" ref="C44:P44" si="15">+C11+C32+C37+C43</f>
        <v>89258205</v>
      </c>
      <c r="D44" s="264">
        <f t="shared" si="15"/>
        <v>35562213.719999999</v>
      </c>
      <c r="E44" s="264">
        <f t="shared" si="15"/>
        <v>87133031</v>
      </c>
      <c r="F44" s="264">
        <f t="shared" si="15"/>
        <v>116586845</v>
      </c>
      <c r="G44" s="264">
        <f t="shared" si="15"/>
        <v>34456739</v>
      </c>
      <c r="H44" s="264">
        <f t="shared" si="15"/>
        <v>71540557</v>
      </c>
      <c r="I44" s="264">
        <f t="shared" si="15"/>
        <v>75953532</v>
      </c>
      <c r="J44" s="264">
        <f t="shared" si="15"/>
        <v>47653818</v>
      </c>
      <c r="K44" s="264">
        <f t="shared" si="15"/>
        <v>105078952.40000001</v>
      </c>
      <c r="L44" s="264">
        <f t="shared" si="15"/>
        <v>95375091</v>
      </c>
      <c r="M44" s="264">
        <f t="shared" si="15"/>
        <v>75628119</v>
      </c>
      <c r="N44" s="264">
        <f t="shared" si="15"/>
        <v>86915648</v>
      </c>
      <c r="O44" s="265">
        <f t="shared" si="15"/>
        <v>921142751.12</v>
      </c>
      <c r="P44" s="266">
        <f t="shared" si="15"/>
        <v>1</v>
      </c>
      <c r="Q44" s="46"/>
      <c r="R44" s="162"/>
    </row>
    <row r="45" spans="2:20" x14ac:dyDescent="0.25">
      <c r="B45" s="267"/>
      <c r="C45" s="268"/>
      <c r="D45" s="268"/>
      <c r="E45" s="268"/>
      <c r="F45" s="268"/>
      <c r="G45" s="268"/>
      <c r="H45" s="268"/>
      <c r="I45" s="268"/>
      <c r="J45" s="268"/>
      <c r="K45" s="268"/>
      <c r="L45" s="268"/>
      <c r="M45" s="268"/>
      <c r="N45" s="268"/>
      <c r="O45" s="269"/>
      <c r="P45" s="268"/>
      <c r="Q45" s="46"/>
    </row>
    <row r="46" spans="2:20" x14ac:dyDescent="0.25">
      <c r="B46" s="250" t="s">
        <v>64</v>
      </c>
      <c r="C46" s="250"/>
      <c r="D46" s="250"/>
      <c r="E46" s="250"/>
      <c r="F46" s="250"/>
      <c r="G46" s="250"/>
      <c r="H46" s="250"/>
      <c r="I46" s="250"/>
      <c r="J46" s="250"/>
      <c r="K46" s="250"/>
      <c r="L46" s="250"/>
      <c r="M46" s="250"/>
      <c r="N46" s="250"/>
      <c r="O46" s="250"/>
      <c r="P46" s="250"/>
      <c r="Q46" s="46"/>
    </row>
    <row r="47" spans="2:20" x14ac:dyDescent="0.25">
      <c r="B47" s="270" t="s">
        <v>10</v>
      </c>
      <c r="C47" s="270"/>
      <c r="D47" s="270"/>
      <c r="E47" s="270"/>
      <c r="F47" s="270"/>
      <c r="G47" s="270"/>
      <c r="H47" s="270"/>
      <c r="I47" s="270"/>
      <c r="J47" s="270"/>
      <c r="K47" s="270"/>
      <c r="L47" s="270"/>
      <c r="M47" s="270"/>
      <c r="N47" s="270"/>
      <c r="O47" s="270"/>
      <c r="P47" s="270"/>
      <c r="Q47" s="46"/>
    </row>
    <row r="48" spans="2:20" x14ac:dyDescent="0.25">
      <c r="B48" s="251" t="s">
        <v>69</v>
      </c>
      <c r="C48" s="259">
        <f>+'EJECUCION SOC ENE 24'!D11</f>
        <v>2345766</v>
      </c>
      <c r="D48" s="259">
        <f>+'EJECUCION SOC FEB 24'!D12</f>
        <v>5956861</v>
      </c>
      <c r="E48" s="259">
        <f>+'EJECUCION SOCIAL MARZO 24'!D12</f>
        <v>5273131.2</v>
      </c>
      <c r="F48" s="259">
        <f>+'EJECUCION SOCIAL ABRIL 24'!D12</f>
        <v>5537309.5999999996</v>
      </c>
      <c r="G48" s="259">
        <f>+'EJECUCION SOCIAL MAY 24'!D12</f>
        <v>6411405.7508000005</v>
      </c>
      <c r="H48" s="259">
        <v>5429840.2488000002</v>
      </c>
      <c r="I48" s="259">
        <f>+'EJECUCION SOCIAL JUL 24'!D12</f>
        <v>5465840.2488000002</v>
      </c>
      <c r="J48" s="259">
        <f>+'EJECUCION SOCIAL AGO 24'!D12</f>
        <v>5465840.2488000002</v>
      </c>
      <c r="K48" s="259">
        <f>+'EJECUCION SOCIAL SEPTIEMBRE'!D12</f>
        <v>5056720.2488000002</v>
      </c>
      <c r="L48" s="259">
        <f>+'EJECUCUCION SOCIAL OCTUBRE'!D12</f>
        <v>6260737.7488000002</v>
      </c>
      <c r="M48" s="259">
        <f>+'EJECUCION SOCIAL NOVIEMBRE'!D12</f>
        <v>5514907.7488000002</v>
      </c>
      <c r="N48" s="259">
        <f>+'EJECUCION SOCIAL DICIEMBRE'!D12</f>
        <v>4826797.7488000002</v>
      </c>
      <c r="O48" s="262">
        <f t="shared" ref="O48:O83" si="16">SUM(C48:N48)</f>
        <v>63545157.79240001</v>
      </c>
      <c r="P48" s="260">
        <f t="shared" ref="P48:P83" si="17">+O48/$O$169</f>
        <v>7.6518313782490077E-2</v>
      </c>
      <c r="Q48" s="46"/>
    </row>
    <row r="49" spans="2:17" x14ac:dyDescent="0.25">
      <c r="B49" s="251" t="s">
        <v>183</v>
      </c>
      <c r="C49" s="259">
        <v>131136</v>
      </c>
      <c r="D49" s="259">
        <v>131136</v>
      </c>
      <c r="E49" s="259">
        <v>131136</v>
      </c>
      <c r="F49" s="259">
        <v>131136</v>
      </c>
      <c r="G49" s="259">
        <v>131136</v>
      </c>
      <c r="H49" s="259">
        <v>131136</v>
      </c>
      <c r="I49" s="259">
        <v>131136</v>
      </c>
      <c r="J49" s="259">
        <v>131136</v>
      </c>
      <c r="K49" s="259">
        <v>131136</v>
      </c>
      <c r="L49" s="259">
        <v>131136</v>
      </c>
      <c r="M49" s="259">
        <v>131136</v>
      </c>
      <c r="N49" s="259">
        <v>131136</v>
      </c>
      <c r="O49" s="262">
        <f t="shared" si="16"/>
        <v>1573632</v>
      </c>
      <c r="P49" s="260">
        <f t="shared" si="17"/>
        <v>1.8948991762291073E-3</v>
      </c>
      <c r="Q49" s="46"/>
    </row>
    <row r="50" spans="2:17" x14ac:dyDescent="0.25">
      <c r="B50" s="251" t="s">
        <v>81</v>
      </c>
      <c r="C50" s="259">
        <v>0</v>
      </c>
      <c r="D50" s="259">
        <v>0</v>
      </c>
      <c r="E50" s="259">
        <v>0</v>
      </c>
      <c r="F50" s="259">
        <v>0</v>
      </c>
      <c r="G50" s="259">
        <v>0</v>
      </c>
      <c r="H50" s="259">
        <v>0</v>
      </c>
      <c r="I50" s="259">
        <v>0</v>
      </c>
      <c r="J50" s="259">
        <v>0</v>
      </c>
      <c r="K50" s="259">
        <v>0</v>
      </c>
      <c r="L50" s="259">
        <v>0</v>
      </c>
      <c r="M50" s="259">
        <v>0</v>
      </c>
      <c r="N50" s="259">
        <v>0</v>
      </c>
      <c r="O50" s="262">
        <f t="shared" si="16"/>
        <v>0</v>
      </c>
      <c r="P50" s="260">
        <f t="shared" si="17"/>
        <v>0</v>
      </c>
      <c r="Q50" s="46"/>
    </row>
    <row r="51" spans="2:17" x14ac:dyDescent="0.25">
      <c r="B51" s="251" t="s">
        <v>271</v>
      </c>
      <c r="C51" s="259"/>
      <c r="D51" s="259">
        <v>0</v>
      </c>
      <c r="E51" s="259">
        <v>0</v>
      </c>
      <c r="F51" s="259">
        <v>0</v>
      </c>
      <c r="G51" s="259">
        <v>0</v>
      </c>
      <c r="H51" s="259">
        <v>0</v>
      </c>
      <c r="I51" s="259">
        <v>0</v>
      </c>
      <c r="J51" s="259">
        <v>0</v>
      </c>
      <c r="K51" s="259">
        <v>0</v>
      </c>
      <c r="L51" s="259">
        <v>0</v>
      </c>
      <c r="M51" s="259">
        <v>0</v>
      </c>
      <c r="N51" s="259">
        <v>0</v>
      </c>
      <c r="O51" s="262">
        <f t="shared" si="16"/>
        <v>0</v>
      </c>
      <c r="P51" s="260">
        <f t="shared" si="17"/>
        <v>0</v>
      </c>
      <c r="Q51" s="46"/>
    </row>
    <row r="52" spans="2:17" x14ac:dyDescent="0.25">
      <c r="B52" s="251" t="s">
        <v>186</v>
      </c>
      <c r="C52" s="259">
        <v>64000</v>
      </c>
      <c r="D52" s="259">
        <v>255000</v>
      </c>
      <c r="E52" s="259">
        <v>0</v>
      </c>
      <c r="F52" s="259">
        <v>91000</v>
      </c>
      <c r="G52" s="259">
        <v>115000</v>
      </c>
      <c r="H52" s="259">
        <v>75000</v>
      </c>
      <c r="I52" s="259">
        <v>75000</v>
      </c>
      <c r="J52" s="259">
        <v>160000</v>
      </c>
      <c r="K52" s="259">
        <v>115000</v>
      </c>
      <c r="L52" s="259">
        <v>105000</v>
      </c>
      <c r="M52" s="259">
        <v>85000</v>
      </c>
      <c r="N52" s="259">
        <v>229000</v>
      </c>
      <c r="O52" s="262">
        <f t="shared" si="16"/>
        <v>1369000</v>
      </c>
      <c r="P52" s="260">
        <f t="shared" si="17"/>
        <v>1.6484902265953207E-3</v>
      </c>
      <c r="Q52" s="46"/>
    </row>
    <row r="53" spans="2:17" x14ac:dyDescent="0.25">
      <c r="B53" s="251" t="s">
        <v>280</v>
      </c>
      <c r="C53" s="259"/>
      <c r="D53" s="259"/>
      <c r="E53" s="259"/>
      <c r="F53" s="259">
        <v>0</v>
      </c>
      <c r="G53" s="259">
        <v>0</v>
      </c>
      <c r="H53" s="259">
        <v>0</v>
      </c>
      <c r="I53" s="259">
        <v>0</v>
      </c>
      <c r="J53" s="259">
        <v>0</v>
      </c>
      <c r="K53" s="259">
        <v>0</v>
      </c>
      <c r="L53" s="259">
        <v>0</v>
      </c>
      <c r="M53" s="259">
        <v>0</v>
      </c>
      <c r="N53" s="259">
        <v>0</v>
      </c>
      <c r="O53" s="262">
        <f t="shared" si="16"/>
        <v>0</v>
      </c>
      <c r="P53" s="260">
        <f t="shared" si="17"/>
        <v>0</v>
      </c>
      <c r="Q53" s="46"/>
    </row>
    <row r="54" spans="2:17" x14ac:dyDescent="0.25">
      <c r="B54" s="251" t="s">
        <v>28</v>
      </c>
      <c r="C54" s="259">
        <v>0</v>
      </c>
      <c r="D54" s="259">
        <v>5324.8</v>
      </c>
      <c r="E54" s="259">
        <v>2601.8000000000002</v>
      </c>
      <c r="F54" s="259">
        <v>705.5</v>
      </c>
      <c r="G54" s="259">
        <v>104500.20000000001</v>
      </c>
      <c r="H54" s="259">
        <v>9711.4</v>
      </c>
      <c r="I54" s="259">
        <v>8059.3</v>
      </c>
      <c r="J54" s="259">
        <v>0</v>
      </c>
      <c r="K54" s="259">
        <v>760.7</v>
      </c>
      <c r="L54" s="259">
        <v>7095.4000000000005</v>
      </c>
      <c r="M54" s="259">
        <v>13702.2</v>
      </c>
      <c r="N54" s="259">
        <v>140916.20000000001</v>
      </c>
      <c r="O54" s="262">
        <f t="shared" si="16"/>
        <v>293377.5</v>
      </c>
      <c r="P54" s="260">
        <f t="shared" si="17"/>
        <v>3.5327241888456442E-4</v>
      </c>
      <c r="Q54" s="46"/>
    </row>
    <row r="55" spans="2:17" x14ac:dyDescent="0.25">
      <c r="B55" s="251" t="s">
        <v>121</v>
      </c>
      <c r="C55" s="259">
        <v>0</v>
      </c>
      <c r="D55" s="259">
        <v>0</v>
      </c>
      <c r="E55" s="259">
        <v>0</v>
      </c>
      <c r="F55" s="259">
        <v>0</v>
      </c>
      <c r="G55" s="259">
        <v>0</v>
      </c>
      <c r="H55" s="259">
        <v>206360</v>
      </c>
      <c r="I55" s="259">
        <v>0</v>
      </c>
      <c r="J55" s="259">
        <v>0</v>
      </c>
      <c r="K55" s="259">
        <v>0</v>
      </c>
      <c r="L55" s="259">
        <v>0</v>
      </c>
      <c r="M55" s="259">
        <v>0</v>
      </c>
      <c r="N55" s="259">
        <v>0</v>
      </c>
      <c r="O55" s="262">
        <f t="shared" si="16"/>
        <v>206360</v>
      </c>
      <c r="P55" s="260">
        <f t="shared" si="17"/>
        <v>2.4848973203813764E-4</v>
      </c>
      <c r="Q55" s="46"/>
    </row>
    <row r="56" spans="2:17" x14ac:dyDescent="0.25">
      <c r="B56" s="251" t="s">
        <v>111</v>
      </c>
      <c r="C56" s="259">
        <v>0</v>
      </c>
      <c r="D56" s="259">
        <v>0</v>
      </c>
      <c r="E56" s="259">
        <v>0</v>
      </c>
      <c r="F56" s="259">
        <v>0</v>
      </c>
      <c r="G56" s="259">
        <v>0</v>
      </c>
      <c r="H56" s="259">
        <v>0</v>
      </c>
      <c r="I56" s="259">
        <v>0</v>
      </c>
      <c r="J56" s="259">
        <v>0</v>
      </c>
      <c r="K56" s="259">
        <v>0</v>
      </c>
      <c r="L56" s="259">
        <v>0</v>
      </c>
      <c r="M56" s="259">
        <v>0</v>
      </c>
      <c r="N56" s="259">
        <v>0</v>
      </c>
      <c r="O56" s="262">
        <f t="shared" si="16"/>
        <v>0</v>
      </c>
      <c r="P56" s="260">
        <f t="shared" si="17"/>
        <v>0</v>
      </c>
      <c r="Q56" s="46"/>
    </row>
    <row r="57" spans="2:17" x14ac:dyDescent="0.25">
      <c r="B57" s="251" t="s">
        <v>220</v>
      </c>
      <c r="C57" s="259">
        <v>19507.5</v>
      </c>
      <c r="D57" s="259">
        <v>20183.800000000003</v>
      </c>
      <c r="E57" s="259">
        <v>18533.8</v>
      </c>
      <c r="F57" s="259">
        <v>42841.4</v>
      </c>
      <c r="G57" s="259">
        <v>19121.7</v>
      </c>
      <c r="H57" s="259">
        <v>19121.7</v>
      </c>
      <c r="I57" s="259">
        <v>20111.7</v>
      </c>
      <c r="J57" s="259">
        <v>19121.7</v>
      </c>
      <c r="K57" s="259">
        <v>19121.7</v>
      </c>
      <c r="L57" s="259">
        <v>19121.7</v>
      </c>
      <c r="M57" s="259">
        <v>17349</v>
      </c>
      <c r="N57" s="259">
        <v>4139.5</v>
      </c>
      <c r="O57" s="262">
        <f t="shared" si="16"/>
        <v>238275.20000000004</v>
      </c>
      <c r="P57" s="260">
        <f t="shared" si="17"/>
        <v>2.8692062705627862E-4</v>
      </c>
      <c r="Q57" s="46"/>
    </row>
    <row r="58" spans="2:17" x14ac:dyDescent="0.25">
      <c r="B58" s="251" t="s">
        <v>68</v>
      </c>
      <c r="C58" s="259">
        <v>20122.100000000002</v>
      </c>
      <c r="D58" s="259">
        <v>23603.200000000001</v>
      </c>
      <c r="E58" s="259">
        <v>23846.7</v>
      </c>
      <c r="F58" s="259">
        <v>0</v>
      </c>
      <c r="G58" s="259">
        <v>23981.9</v>
      </c>
      <c r="H58" s="259">
        <v>23895.800000000003</v>
      </c>
      <c r="I58" s="259">
        <v>23820.5</v>
      </c>
      <c r="J58" s="259">
        <v>23944.400000000001</v>
      </c>
      <c r="K58" s="259">
        <v>24180.800000000003</v>
      </c>
      <c r="L58" s="259">
        <v>23944.400000000001</v>
      </c>
      <c r="M58" s="259">
        <v>70267.5</v>
      </c>
      <c r="N58" s="259">
        <v>0</v>
      </c>
      <c r="O58" s="262">
        <f t="shared" si="16"/>
        <v>281607.30000000005</v>
      </c>
      <c r="P58" s="260">
        <f t="shared" si="17"/>
        <v>3.3909925623659356E-4</v>
      </c>
      <c r="Q58" s="46"/>
    </row>
    <row r="59" spans="2:17" x14ac:dyDescent="0.25">
      <c r="B59" s="251" t="s">
        <v>187</v>
      </c>
      <c r="C59" s="259">
        <v>20124.600000000002</v>
      </c>
      <c r="D59" s="259">
        <v>120931.20000000001</v>
      </c>
      <c r="E59" s="259">
        <v>0</v>
      </c>
      <c r="F59" s="259">
        <v>0</v>
      </c>
      <c r="G59" s="259">
        <v>0</v>
      </c>
      <c r="H59" s="259">
        <v>29433.4</v>
      </c>
      <c r="I59" s="259">
        <v>0</v>
      </c>
      <c r="J59" s="259">
        <v>0</v>
      </c>
      <c r="K59" s="259">
        <v>0</v>
      </c>
      <c r="L59" s="259">
        <v>0</v>
      </c>
      <c r="M59" s="259">
        <v>9550.8000000000011</v>
      </c>
      <c r="N59" s="259">
        <v>0</v>
      </c>
      <c r="O59" s="262">
        <f t="shared" si="16"/>
        <v>180040</v>
      </c>
      <c r="P59" s="260">
        <f t="shared" si="17"/>
        <v>2.1679633337927067E-4</v>
      </c>
      <c r="Q59" s="46"/>
    </row>
    <row r="60" spans="2:17" x14ac:dyDescent="0.25">
      <c r="B60" s="251" t="s">
        <v>188</v>
      </c>
      <c r="C60" s="259">
        <v>209220.5</v>
      </c>
      <c r="D60" s="259">
        <v>133911.9</v>
      </c>
      <c r="E60" s="259">
        <v>18072.2</v>
      </c>
      <c r="F60" s="259">
        <v>19453.600000000002</v>
      </c>
      <c r="G60" s="259">
        <v>67741.2</v>
      </c>
      <c r="H60" s="259">
        <v>21785.600000000002</v>
      </c>
      <c r="I60" s="259">
        <v>68932.400000000009</v>
      </c>
      <c r="J60" s="259">
        <v>237877.5</v>
      </c>
      <c r="K60" s="259">
        <v>39630.800000000003</v>
      </c>
      <c r="L60" s="259">
        <v>21154.7</v>
      </c>
      <c r="M60" s="259">
        <v>22325.7</v>
      </c>
      <c r="N60" s="259">
        <v>61652.4</v>
      </c>
      <c r="O60" s="262">
        <f t="shared" si="16"/>
        <v>921758.5</v>
      </c>
      <c r="P60" s="260">
        <f t="shared" si="17"/>
        <v>1.1099414744566566E-3</v>
      </c>
      <c r="Q60" s="46"/>
    </row>
    <row r="61" spans="2:17" x14ac:dyDescent="0.25">
      <c r="B61" s="251" t="s">
        <v>263</v>
      </c>
      <c r="C61" s="259">
        <v>419300</v>
      </c>
      <c r="D61" s="259">
        <v>0</v>
      </c>
      <c r="E61" s="259">
        <v>0</v>
      </c>
      <c r="F61" s="259">
        <v>0</v>
      </c>
      <c r="G61" s="259">
        <v>0</v>
      </c>
      <c r="H61" s="259">
        <v>0</v>
      </c>
      <c r="I61" s="259">
        <v>0</v>
      </c>
      <c r="J61" s="259">
        <v>0</v>
      </c>
      <c r="K61" s="259">
        <v>0</v>
      </c>
      <c r="L61" s="259">
        <v>0</v>
      </c>
      <c r="M61" s="259">
        <v>0</v>
      </c>
      <c r="N61" s="259">
        <v>0</v>
      </c>
      <c r="O61" s="262">
        <f t="shared" si="16"/>
        <v>419300</v>
      </c>
      <c r="P61" s="260">
        <f t="shared" si="17"/>
        <v>5.0490281374099201E-4</v>
      </c>
      <c r="Q61" s="46"/>
    </row>
    <row r="62" spans="2:17" x14ac:dyDescent="0.25">
      <c r="B62" s="251" t="s">
        <v>108</v>
      </c>
      <c r="C62" s="259">
        <v>0</v>
      </c>
      <c r="D62" s="259">
        <v>0</v>
      </c>
      <c r="E62" s="259">
        <v>0</v>
      </c>
      <c r="F62" s="259">
        <v>0</v>
      </c>
      <c r="G62" s="259">
        <v>0</v>
      </c>
      <c r="H62" s="259">
        <v>0</v>
      </c>
      <c r="I62" s="259">
        <v>0</v>
      </c>
      <c r="J62" s="259">
        <v>0</v>
      </c>
      <c r="K62" s="259">
        <v>0</v>
      </c>
      <c r="L62" s="259">
        <v>0</v>
      </c>
      <c r="M62" s="259">
        <v>0</v>
      </c>
      <c r="N62" s="259">
        <v>0</v>
      </c>
      <c r="O62" s="262">
        <f t="shared" si="16"/>
        <v>0</v>
      </c>
      <c r="P62" s="260">
        <f t="shared" si="17"/>
        <v>0</v>
      </c>
      <c r="Q62" s="46"/>
    </row>
    <row r="63" spans="2:17" x14ac:dyDescent="0.25">
      <c r="B63" s="251" t="s">
        <v>155</v>
      </c>
      <c r="C63" s="259">
        <v>0</v>
      </c>
      <c r="D63" s="259">
        <v>16000</v>
      </c>
      <c r="E63" s="259">
        <v>2000</v>
      </c>
      <c r="F63" s="259">
        <v>4400</v>
      </c>
      <c r="G63" s="259">
        <v>0</v>
      </c>
      <c r="H63" s="259">
        <v>1500</v>
      </c>
      <c r="I63" s="259">
        <v>0</v>
      </c>
      <c r="J63" s="259">
        <v>0</v>
      </c>
      <c r="K63" s="259">
        <v>7700</v>
      </c>
      <c r="L63" s="259">
        <v>5085</v>
      </c>
      <c r="M63" s="259">
        <v>0</v>
      </c>
      <c r="N63" s="259">
        <v>0</v>
      </c>
      <c r="O63" s="262">
        <f t="shared" si="16"/>
        <v>36685</v>
      </c>
      <c r="P63" s="260">
        <f t="shared" si="17"/>
        <v>4.4174480615521801E-5</v>
      </c>
      <c r="Q63" s="46"/>
    </row>
    <row r="64" spans="2:17" x14ac:dyDescent="0.25">
      <c r="B64" s="251" t="s">
        <v>115</v>
      </c>
      <c r="C64" s="259">
        <v>0</v>
      </c>
      <c r="D64" s="259">
        <v>0</v>
      </c>
      <c r="E64" s="259">
        <v>0</v>
      </c>
      <c r="F64" s="259">
        <v>0</v>
      </c>
      <c r="G64" s="259">
        <v>0</v>
      </c>
      <c r="H64" s="259">
        <v>0</v>
      </c>
      <c r="I64" s="259">
        <v>0</v>
      </c>
      <c r="J64" s="259">
        <v>0</v>
      </c>
      <c r="K64" s="259">
        <v>0</v>
      </c>
      <c r="L64" s="259">
        <v>0</v>
      </c>
      <c r="M64" s="259">
        <v>0</v>
      </c>
      <c r="N64" s="259">
        <v>0</v>
      </c>
      <c r="O64" s="262">
        <f t="shared" si="16"/>
        <v>0</v>
      </c>
      <c r="P64" s="260">
        <f t="shared" si="17"/>
        <v>0</v>
      </c>
      <c r="Q64" s="46"/>
    </row>
    <row r="65" spans="2:17" x14ac:dyDescent="0.25">
      <c r="B65" s="251" t="s">
        <v>72</v>
      </c>
      <c r="C65" s="259">
        <v>0</v>
      </c>
      <c r="D65" s="259">
        <v>0</v>
      </c>
      <c r="E65" s="259">
        <v>0</v>
      </c>
      <c r="F65" s="259">
        <v>0</v>
      </c>
      <c r="G65" s="259">
        <v>35000</v>
      </c>
      <c r="H65" s="259">
        <v>0</v>
      </c>
      <c r="I65" s="259">
        <v>0</v>
      </c>
      <c r="J65" s="259">
        <v>0</v>
      </c>
      <c r="K65" s="259">
        <v>0</v>
      </c>
      <c r="L65" s="259">
        <v>0</v>
      </c>
      <c r="M65" s="259">
        <v>0</v>
      </c>
      <c r="N65" s="259">
        <v>0</v>
      </c>
      <c r="O65" s="262">
        <f t="shared" si="16"/>
        <v>35000</v>
      </c>
      <c r="P65" s="260">
        <f t="shared" si="17"/>
        <v>4.2145476939982636E-5</v>
      </c>
      <c r="Q65" s="46"/>
    </row>
    <row r="66" spans="2:17" x14ac:dyDescent="0.25">
      <c r="B66" s="251" t="s">
        <v>52</v>
      </c>
      <c r="C66" s="259">
        <v>790</v>
      </c>
      <c r="D66" s="259">
        <v>0</v>
      </c>
      <c r="E66" s="259">
        <v>206470</v>
      </c>
      <c r="F66" s="259">
        <v>790</v>
      </c>
      <c r="G66" s="259">
        <v>47050</v>
      </c>
      <c r="H66" s="259">
        <v>0</v>
      </c>
      <c r="I66" s="259">
        <v>0</v>
      </c>
      <c r="J66" s="259">
        <v>790</v>
      </c>
      <c r="K66" s="259">
        <v>790</v>
      </c>
      <c r="L66" s="259">
        <v>0</v>
      </c>
      <c r="M66" s="259">
        <v>790</v>
      </c>
      <c r="N66" s="259">
        <v>0</v>
      </c>
      <c r="O66" s="262">
        <f t="shared" si="16"/>
        <v>257470</v>
      </c>
      <c r="P66" s="260">
        <f t="shared" si="17"/>
        <v>3.1003416993535224E-4</v>
      </c>
      <c r="Q66" s="46"/>
    </row>
    <row r="67" spans="2:17" x14ac:dyDescent="0.25">
      <c r="B67" s="251" t="s">
        <v>189</v>
      </c>
      <c r="C67" s="259">
        <v>0</v>
      </c>
      <c r="D67" s="259">
        <v>10495.800000000001</v>
      </c>
      <c r="E67" s="259">
        <v>0</v>
      </c>
      <c r="F67" s="259">
        <v>24452.2</v>
      </c>
      <c r="G67" s="259">
        <v>0</v>
      </c>
      <c r="H67" s="259">
        <v>0</v>
      </c>
      <c r="I67" s="259">
        <v>8204.4</v>
      </c>
      <c r="J67" s="259">
        <v>0</v>
      </c>
      <c r="K67" s="259">
        <v>0</v>
      </c>
      <c r="L67" s="259">
        <v>0</v>
      </c>
      <c r="M67" s="259">
        <v>0</v>
      </c>
      <c r="N67" s="259">
        <v>0</v>
      </c>
      <c r="O67" s="262">
        <f t="shared" si="16"/>
        <v>43152.4</v>
      </c>
      <c r="P67" s="260">
        <f t="shared" si="17"/>
        <v>5.1962242260140193E-5</v>
      </c>
      <c r="Q67" s="46"/>
    </row>
    <row r="68" spans="2:17" x14ac:dyDescent="0.25">
      <c r="B68" s="251" t="s">
        <v>190</v>
      </c>
      <c r="C68" s="259">
        <v>0</v>
      </c>
      <c r="D68" s="259">
        <v>0</v>
      </c>
      <c r="E68" s="259">
        <v>0</v>
      </c>
      <c r="F68" s="259">
        <v>0</v>
      </c>
      <c r="G68" s="259">
        <v>0</v>
      </c>
      <c r="H68" s="259">
        <v>0</v>
      </c>
      <c r="I68" s="259">
        <v>0</v>
      </c>
      <c r="J68" s="259">
        <v>0</v>
      </c>
      <c r="K68" s="259">
        <v>0</v>
      </c>
      <c r="L68" s="259">
        <v>0</v>
      </c>
      <c r="M68" s="259">
        <v>0</v>
      </c>
      <c r="N68" s="259">
        <v>0</v>
      </c>
      <c r="O68" s="262">
        <f t="shared" si="16"/>
        <v>0</v>
      </c>
      <c r="P68" s="260">
        <f t="shared" si="17"/>
        <v>0</v>
      </c>
      <c r="Q68" s="46"/>
    </row>
    <row r="69" spans="2:17" x14ac:dyDescent="0.25">
      <c r="B69" s="251" t="s">
        <v>6</v>
      </c>
      <c r="C69" s="259">
        <v>73714.3</v>
      </c>
      <c r="D69" s="259">
        <v>38318</v>
      </c>
      <c r="E69" s="259">
        <v>0</v>
      </c>
      <c r="F69" s="259">
        <v>30000</v>
      </c>
      <c r="G69" s="259">
        <v>0</v>
      </c>
      <c r="H69" s="259">
        <v>9000</v>
      </c>
      <c r="I69" s="259">
        <v>96000</v>
      </c>
      <c r="J69" s="259">
        <v>10000</v>
      </c>
      <c r="K69" s="259">
        <v>8000</v>
      </c>
      <c r="L69" s="259">
        <v>11408.400000000001</v>
      </c>
      <c r="M69" s="259">
        <v>13990</v>
      </c>
      <c r="N69" s="259">
        <v>0</v>
      </c>
      <c r="O69" s="262">
        <f t="shared" si="16"/>
        <v>290430.7</v>
      </c>
      <c r="P69" s="260">
        <f t="shared" si="17"/>
        <v>3.497240105575147E-4</v>
      </c>
      <c r="Q69" s="46"/>
    </row>
    <row r="70" spans="2:17" x14ac:dyDescent="0.25">
      <c r="B70" s="251" t="s">
        <v>328</v>
      </c>
      <c r="C70" s="259"/>
      <c r="D70" s="259"/>
      <c r="E70" s="259"/>
      <c r="F70" s="259"/>
      <c r="G70" s="259"/>
      <c r="H70" s="259"/>
      <c r="I70" s="259"/>
      <c r="J70" s="259">
        <v>0</v>
      </c>
      <c r="K70" s="259">
        <v>0</v>
      </c>
      <c r="L70" s="259">
        <v>0</v>
      </c>
      <c r="M70" s="259">
        <v>0</v>
      </c>
      <c r="N70" s="259">
        <v>0</v>
      </c>
      <c r="O70" s="262">
        <f t="shared" si="16"/>
        <v>0</v>
      </c>
      <c r="P70" s="260">
        <f t="shared" si="17"/>
        <v>0</v>
      </c>
      <c r="Q70" s="46"/>
    </row>
    <row r="71" spans="2:17" x14ac:dyDescent="0.25">
      <c r="B71" s="251" t="s">
        <v>191</v>
      </c>
      <c r="C71" s="259">
        <v>18898.100000000002</v>
      </c>
      <c r="D71" s="259">
        <v>18898.100000000002</v>
      </c>
      <c r="E71" s="259">
        <v>18898.100000000002</v>
      </c>
      <c r="F71" s="259">
        <v>18898.100000000002</v>
      </c>
      <c r="G71" s="259">
        <v>18898.100000000002</v>
      </c>
      <c r="H71" s="259">
        <v>38617.300000000003</v>
      </c>
      <c r="I71" s="259">
        <v>38617.300000000003</v>
      </c>
      <c r="J71" s="259">
        <v>38617.300000000003</v>
      </c>
      <c r="K71" s="259">
        <v>38617.300000000003</v>
      </c>
      <c r="L71" s="259">
        <v>38617.300000000003</v>
      </c>
      <c r="M71" s="259">
        <v>38617.300000000003</v>
      </c>
      <c r="N71" s="259">
        <v>38617.300000000003</v>
      </c>
      <c r="O71" s="262">
        <f t="shared" si="16"/>
        <v>364811.6</v>
      </c>
      <c r="P71" s="260">
        <f t="shared" si="17"/>
        <v>4.3929025357823339E-4</v>
      </c>
      <c r="Q71" s="46"/>
    </row>
    <row r="72" spans="2:17" x14ac:dyDescent="0.25">
      <c r="B72" s="251" t="s">
        <v>272</v>
      </c>
      <c r="C72" s="259">
        <v>0</v>
      </c>
      <c r="D72" s="259">
        <v>0</v>
      </c>
      <c r="E72" s="259">
        <v>0</v>
      </c>
      <c r="F72" s="259">
        <v>0</v>
      </c>
      <c r="G72" s="259">
        <v>0</v>
      </c>
      <c r="H72" s="259">
        <v>0</v>
      </c>
      <c r="I72" s="259">
        <v>0</v>
      </c>
      <c r="J72" s="259">
        <v>0</v>
      </c>
      <c r="K72" s="259">
        <v>0</v>
      </c>
      <c r="L72" s="259">
        <v>0</v>
      </c>
      <c r="M72" s="259">
        <v>0</v>
      </c>
      <c r="N72" s="259">
        <v>0</v>
      </c>
      <c r="O72" s="262">
        <f t="shared" si="16"/>
        <v>0</v>
      </c>
      <c r="P72" s="260">
        <f t="shared" si="17"/>
        <v>0</v>
      </c>
      <c r="Q72" s="46"/>
    </row>
    <row r="73" spans="2:17" x14ac:dyDescent="0.25">
      <c r="B73" s="251" t="s">
        <v>192</v>
      </c>
      <c r="C73" s="259">
        <v>0</v>
      </c>
      <c r="D73" s="259">
        <v>71007</v>
      </c>
      <c r="E73" s="259">
        <v>20665.300000000003</v>
      </c>
      <c r="F73" s="259">
        <v>9929.6</v>
      </c>
      <c r="G73" s="259">
        <v>4699</v>
      </c>
      <c r="H73" s="259">
        <v>79981.5</v>
      </c>
      <c r="I73" s="259">
        <v>5190</v>
      </c>
      <c r="J73" s="259">
        <v>44120.100000000006</v>
      </c>
      <c r="K73" s="259">
        <v>11549.900000000001</v>
      </c>
      <c r="L73" s="259">
        <v>59192.200000000004</v>
      </c>
      <c r="M73" s="259">
        <v>12101.7</v>
      </c>
      <c r="N73" s="259">
        <v>0</v>
      </c>
      <c r="O73" s="262">
        <f t="shared" si="16"/>
        <v>318436.30000000005</v>
      </c>
      <c r="P73" s="260">
        <f t="shared" si="17"/>
        <v>3.8344713538581126E-4</v>
      </c>
      <c r="Q73" s="46"/>
    </row>
    <row r="74" spans="2:17" x14ac:dyDescent="0.25">
      <c r="B74" s="251" t="s">
        <v>247</v>
      </c>
      <c r="C74" s="259">
        <v>21522.100000000002</v>
      </c>
      <c r="D74" s="259">
        <v>23760.9</v>
      </c>
      <c r="E74" s="259">
        <v>30875.9</v>
      </c>
      <c r="F74" s="259">
        <v>13860.7</v>
      </c>
      <c r="G74" s="259">
        <v>23082.2</v>
      </c>
      <c r="H74" s="259">
        <v>0</v>
      </c>
      <c r="I74" s="259">
        <v>9403.6</v>
      </c>
      <c r="J74" s="259">
        <v>17715.2</v>
      </c>
      <c r="K74" s="259">
        <v>24638.9</v>
      </c>
      <c r="L74" s="259">
        <v>21002.800000000003</v>
      </c>
      <c r="M74" s="259">
        <v>0</v>
      </c>
      <c r="N74" s="259">
        <v>4884.9000000000005</v>
      </c>
      <c r="O74" s="262">
        <f t="shared" si="16"/>
        <v>190747.19999999998</v>
      </c>
      <c r="P74" s="260">
        <f t="shared" si="17"/>
        <v>2.2968947768475014E-4</v>
      </c>
      <c r="Q74" s="46"/>
    </row>
    <row r="75" spans="2:17" x14ac:dyDescent="0.25">
      <c r="B75" s="251" t="s">
        <v>48</v>
      </c>
      <c r="C75" s="259">
        <v>27640</v>
      </c>
      <c r="D75" s="259">
        <v>41200</v>
      </c>
      <c r="E75" s="259">
        <v>23965</v>
      </c>
      <c r="F75" s="259">
        <v>13800</v>
      </c>
      <c r="G75" s="259">
        <v>24560</v>
      </c>
      <c r="H75" s="259">
        <v>14500</v>
      </c>
      <c r="I75" s="259">
        <v>20200</v>
      </c>
      <c r="J75" s="259">
        <v>15050</v>
      </c>
      <c r="K75" s="259">
        <v>21700</v>
      </c>
      <c r="L75" s="259">
        <v>23100</v>
      </c>
      <c r="M75" s="259">
        <v>8750</v>
      </c>
      <c r="N75" s="259">
        <v>1000</v>
      </c>
      <c r="O75" s="262">
        <f t="shared" si="16"/>
        <v>235465</v>
      </c>
      <c r="P75" s="260">
        <f t="shared" si="17"/>
        <v>2.8353670650494318E-4</v>
      </c>
      <c r="Q75" s="46"/>
    </row>
    <row r="76" spans="2:17" x14ac:dyDescent="0.25">
      <c r="B76" s="251" t="s">
        <v>49</v>
      </c>
      <c r="C76" s="259">
        <v>420.20000000000005</v>
      </c>
      <c r="D76" s="259">
        <v>2020.2</v>
      </c>
      <c r="E76" s="259">
        <v>420.20000000000005</v>
      </c>
      <c r="F76" s="259">
        <v>2394.9</v>
      </c>
      <c r="G76" s="259">
        <v>420.20000000000005</v>
      </c>
      <c r="H76" s="259">
        <v>1260.5</v>
      </c>
      <c r="I76" s="259">
        <v>1680.7</v>
      </c>
      <c r="J76" s="259">
        <v>0</v>
      </c>
      <c r="K76" s="259">
        <v>2815.1000000000004</v>
      </c>
      <c r="L76" s="259">
        <v>420.20000000000005</v>
      </c>
      <c r="M76" s="259">
        <v>0</v>
      </c>
      <c r="N76" s="259">
        <v>840.40000000000009</v>
      </c>
      <c r="O76" s="262">
        <f t="shared" si="16"/>
        <v>12692.6</v>
      </c>
      <c r="P76" s="260">
        <f t="shared" si="17"/>
        <v>1.5283876588812103E-5</v>
      </c>
      <c r="Q76" s="46"/>
    </row>
    <row r="77" spans="2:17" x14ac:dyDescent="0.25">
      <c r="B77" s="251" t="s">
        <v>193</v>
      </c>
      <c r="C77" s="259">
        <v>0</v>
      </c>
      <c r="D77" s="259">
        <v>0</v>
      </c>
      <c r="E77" s="259">
        <v>0</v>
      </c>
      <c r="F77" s="259">
        <v>0</v>
      </c>
      <c r="G77" s="259">
        <v>0</v>
      </c>
      <c r="H77" s="259">
        <v>0</v>
      </c>
      <c r="I77" s="259"/>
      <c r="J77" s="259">
        <v>0</v>
      </c>
      <c r="K77" s="259">
        <v>0</v>
      </c>
      <c r="L77" s="259">
        <v>0</v>
      </c>
      <c r="M77" s="259">
        <v>0</v>
      </c>
      <c r="N77" s="259">
        <v>0</v>
      </c>
      <c r="O77" s="262">
        <f t="shared" si="16"/>
        <v>0</v>
      </c>
      <c r="P77" s="260">
        <f t="shared" si="17"/>
        <v>0</v>
      </c>
      <c r="Q77" s="46"/>
    </row>
    <row r="78" spans="2:17" x14ac:dyDescent="0.25">
      <c r="B78" s="251" t="s">
        <v>281</v>
      </c>
      <c r="C78" s="259">
        <v>0</v>
      </c>
      <c r="D78" s="259">
        <v>0</v>
      </c>
      <c r="E78" s="259">
        <v>0</v>
      </c>
      <c r="F78" s="259">
        <v>0</v>
      </c>
      <c r="G78" s="259">
        <v>0</v>
      </c>
      <c r="H78" s="259">
        <v>0</v>
      </c>
      <c r="I78" s="259"/>
      <c r="J78" s="259">
        <v>0</v>
      </c>
      <c r="K78" s="259">
        <v>0</v>
      </c>
      <c r="L78" s="259">
        <v>0</v>
      </c>
      <c r="M78" s="259">
        <v>0</v>
      </c>
      <c r="N78" s="259">
        <v>0</v>
      </c>
      <c r="O78" s="262">
        <f t="shared" si="16"/>
        <v>0</v>
      </c>
      <c r="P78" s="260">
        <f t="shared" si="17"/>
        <v>0</v>
      </c>
      <c r="Q78" s="46"/>
    </row>
    <row r="79" spans="2:17" x14ac:dyDescent="0.25">
      <c r="B79" s="251" t="s">
        <v>282</v>
      </c>
      <c r="C79" s="259">
        <v>0</v>
      </c>
      <c r="D79" s="259">
        <v>0</v>
      </c>
      <c r="E79" s="259">
        <v>0</v>
      </c>
      <c r="F79" s="259">
        <v>0</v>
      </c>
      <c r="G79" s="259">
        <v>0</v>
      </c>
      <c r="H79" s="259">
        <v>0</v>
      </c>
      <c r="I79" s="259"/>
      <c r="J79" s="259">
        <v>0</v>
      </c>
      <c r="K79" s="259">
        <v>0</v>
      </c>
      <c r="L79" s="259">
        <v>0</v>
      </c>
      <c r="M79" s="259">
        <v>0</v>
      </c>
      <c r="N79" s="259">
        <v>0</v>
      </c>
      <c r="O79" s="262">
        <f t="shared" si="16"/>
        <v>0</v>
      </c>
      <c r="P79" s="260">
        <f t="shared" si="17"/>
        <v>0</v>
      </c>
      <c r="Q79" s="46"/>
    </row>
    <row r="80" spans="2:17" x14ac:dyDescent="0.25">
      <c r="B80" s="251" t="s">
        <v>265</v>
      </c>
      <c r="C80" s="259"/>
      <c r="D80" s="259"/>
      <c r="E80" s="259"/>
      <c r="F80" s="259">
        <v>0</v>
      </c>
      <c r="G80" s="259">
        <v>0</v>
      </c>
      <c r="H80" s="259">
        <v>0</v>
      </c>
      <c r="I80" s="259"/>
      <c r="J80" s="259">
        <v>0</v>
      </c>
      <c r="K80" s="259">
        <v>0</v>
      </c>
      <c r="L80" s="259">
        <v>0</v>
      </c>
      <c r="M80" s="259">
        <v>0</v>
      </c>
      <c r="N80" s="259">
        <v>0</v>
      </c>
      <c r="O80" s="262">
        <f t="shared" si="16"/>
        <v>0</v>
      </c>
      <c r="P80" s="260">
        <f t="shared" si="17"/>
        <v>0</v>
      </c>
      <c r="Q80" s="46"/>
    </row>
    <row r="81" spans="2:17" x14ac:dyDescent="0.25">
      <c r="B81" s="251" t="s">
        <v>283</v>
      </c>
      <c r="C81" s="259"/>
      <c r="D81" s="259"/>
      <c r="E81" s="259"/>
      <c r="F81" s="259">
        <v>0</v>
      </c>
      <c r="G81" s="259">
        <v>0</v>
      </c>
      <c r="H81" s="259">
        <v>0</v>
      </c>
      <c r="I81" s="259"/>
      <c r="J81" s="259">
        <v>0</v>
      </c>
      <c r="K81" s="259">
        <v>0</v>
      </c>
      <c r="L81" s="259">
        <v>0</v>
      </c>
      <c r="M81" s="259">
        <v>0</v>
      </c>
      <c r="N81" s="259">
        <v>0</v>
      </c>
      <c r="O81" s="262">
        <f t="shared" si="16"/>
        <v>0</v>
      </c>
      <c r="P81" s="260">
        <f t="shared" si="17"/>
        <v>0</v>
      </c>
      <c r="Q81" s="46"/>
    </row>
    <row r="82" spans="2:17" x14ac:dyDescent="0.25">
      <c r="B82" s="251" t="s">
        <v>232</v>
      </c>
      <c r="C82" s="259">
        <v>0</v>
      </c>
      <c r="D82" s="259">
        <v>0</v>
      </c>
      <c r="E82" s="259">
        <v>0</v>
      </c>
      <c r="F82" s="259">
        <v>0</v>
      </c>
      <c r="G82" s="259">
        <v>0</v>
      </c>
      <c r="H82" s="259">
        <v>0</v>
      </c>
      <c r="I82" s="259"/>
      <c r="J82" s="259">
        <v>0</v>
      </c>
      <c r="K82" s="259">
        <v>0</v>
      </c>
      <c r="L82" s="259">
        <v>0</v>
      </c>
      <c r="M82" s="259">
        <v>0</v>
      </c>
      <c r="N82" s="259">
        <v>0</v>
      </c>
      <c r="O82" s="262">
        <f t="shared" si="16"/>
        <v>0</v>
      </c>
      <c r="P82" s="260">
        <f t="shared" si="17"/>
        <v>0</v>
      </c>
      <c r="Q82" s="46"/>
    </row>
    <row r="83" spans="2:17" x14ac:dyDescent="0.25">
      <c r="B83" s="251" t="s">
        <v>70</v>
      </c>
      <c r="C83" s="259">
        <v>0</v>
      </c>
      <c r="D83" s="259">
        <v>0</v>
      </c>
      <c r="E83" s="259">
        <v>0</v>
      </c>
      <c r="F83" s="259">
        <v>0</v>
      </c>
      <c r="G83" s="259">
        <v>0</v>
      </c>
      <c r="H83" s="259">
        <v>20710</v>
      </c>
      <c r="I83" s="259"/>
      <c r="J83" s="259">
        <v>0</v>
      </c>
      <c r="K83" s="259">
        <v>30072</v>
      </c>
      <c r="L83" s="259">
        <v>0</v>
      </c>
      <c r="M83" s="259">
        <v>0</v>
      </c>
      <c r="N83" s="259">
        <v>44730</v>
      </c>
      <c r="O83" s="262">
        <f t="shared" si="16"/>
        <v>95512</v>
      </c>
      <c r="P83" s="260">
        <f t="shared" si="17"/>
        <v>1.1501139409976061E-4</v>
      </c>
      <c r="Q83" s="46"/>
    </row>
    <row r="84" spans="2:17" x14ac:dyDescent="0.25">
      <c r="B84" s="254" t="s">
        <v>9</v>
      </c>
      <c r="C84" s="255">
        <f>SUM(C48:C83)</f>
        <v>3372161.4000000004</v>
      </c>
      <c r="D84" s="255">
        <f t="shared" ref="D84:L84" si="18">SUM(D48:D83)</f>
        <v>6868651.9000000004</v>
      </c>
      <c r="E84" s="255">
        <f t="shared" si="18"/>
        <v>5770616.2000000002</v>
      </c>
      <c r="F84" s="255">
        <f t="shared" si="18"/>
        <v>5940971.5999999996</v>
      </c>
      <c r="G84" s="255">
        <f t="shared" si="18"/>
        <v>7026596.2508000014</v>
      </c>
      <c r="H84" s="255">
        <f t="shared" si="18"/>
        <v>6111853.4488000004</v>
      </c>
      <c r="I84" s="255">
        <f t="shared" si="18"/>
        <v>5972196.1488000005</v>
      </c>
      <c r="J84" s="255">
        <f t="shared" si="18"/>
        <v>6164212.4488000004</v>
      </c>
      <c r="K84" s="255">
        <f t="shared" si="18"/>
        <v>5532433.4488000004</v>
      </c>
      <c r="L84" s="255">
        <f t="shared" si="18"/>
        <v>6727015.8488000017</v>
      </c>
      <c r="M84" s="255">
        <f t="shared" ref="M84:O84" si="19">SUM(M48:M83)</f>
        <v>5938487.9488000004</v>
      </c>
      <c r="N84" s="255">
        <f t="shared" si="19"/>
        <v>5483714.4488000013</v>
      </c>
      <c r="O84" s="255">
        <f t="shared" si="19"/>
        <v>70908911.092399999</v>
      </c>
      <c r="P84" s="257">
        <f>SUM(P48:P83)</f>
        <v>8.5385425065257828E-2</v>
      </c>
      <c r="Q84" s="46"/>
    </row>
    <row r="85" spans="2:17" x14ac:dyDescent="0.25">
      <c r="B85" s="271"/>
      <c r="C85" s="272"/>
      <c r="D85" s="272"/>
      <c r="E85" s="272"/>
      <c r="F85" s="272"/>
      <c r="G85" s="272"/>
      <c r="H85" s="272"/>
      <c r="I85" s="272"/>
      <c r="J85" s="272"/>
      <c r="K85" s="272"/>
      <c r="L85" s="272"/>
      <c r="M85" s="272"/>
      <c r="N85" s="272"/>
      <c r="O85" s="272"/>
      <c r="P85" s="273"/>
      <c r="Q85" s="46"/>
    </row>
    <row r="86" spans="2:17" x14ac:dyDescent="0.25">
      <c r="B86" s="246" t="s">
        <v>229</v>
      </c>
      <c r="C86" s="274"/>
      <c r="D86" s="274"/>
      <c r="E86" s="274"/>
      <c r="F86" s="274"/>
      <c r="G86" s="274"/>
      <c r="H86" s="274"/>
      <c r="I86" s="274"/>
      <c r="J86" s="274"/>
      <c r="K86" s="274"/>
      <c r="L86" s="274"/>
      <c r="M86" s="274"/>
      <c r="N86" s="274"/>
      <c r="O86" s="274"/>
      <c r="P86" s="274"/>
      <c r="Q86" s="46"/>
    </row>
    <row r="87" spans="2:17" x14ac:dyDescent="0.25">
      <c r="B87" s="271"/>
      <c r="C87" s="275"/>
      <c r="D87" s="275"/>
      <c r="E87" s="275"/>
      <c r="F87" s="275"/>
      <c r="G87" s="275"/>
      <c r="H87" s="275"/>
      <c r="I87" s="275"/>
      <c r="J87" s="275"/>
      <c r="K87" s="275"/>
      <c r="L87" s="275"/>
      <c r="M87" s="275"/>
      <c r="N87" s="275"/>
      <c r="O87" s="275"/>
      <c r="P87" s="275"/>
      <c r="Q87" s="46"/>
    </row>
    <row r="88" spans="2:17" x14ac:dyDescent="0.25">
      <c r="B88" s="246" t="s">
        <v>287</v>
      </c>
      <c r="C88" s="274"/>
      <c r="D88" s="274"/>
      <c r="E88" s="274"/>
      <c r="F88" s="274"/>
      <c r="G88" s="274"/>
      <c r="H88" s="274"/>
      <c r="I88" s="274"/>
      <c r="J88" s="274"/>
      <c r="K88" s="274"/>
      <c r="L88" s="274"/>
      <c r="M88" s="274"/>
      <c r="N88" s="274"/>
      <c r="O88" s="274"/>
      <c r="P88" s="274"/>
      <c r="Q88" s="46"/>
    </row>
    <row r="89" spans="2:17" x14ac:dyDescent="0.25">
      <c r="B89" s="314" t="s">
        <v>69</v>
      </c>
      <c r="C89" s="315">
        <f>+'EJECUCION SOC ENE 24'!P11+'EJECUCION SOC ENE 24'!R11</f>
        <v>803116</v>
      </c>
      <c r="D89" s="316">
        <f>+'EJECUCION SOC FEB 24'!S12</f>
        <v>1224471.6599999999</v>
      </c>
      <c r="E89" s="316">
        <f>+'EJECUCION SOCIAL MARZO 24'!P12+'EJECUCION SOCIAL MARZO 24'!R12</f>
        <v>1076671.6599999999</v>
      </c>
      <c r="F89" s="316">
        <f>+'EJECUCION SOCIAL ABRIL 24'!P12+'EJECUCION SOCIAL ABRIL 24'!R12</f>
        <v>1121114.79</v>
      </c>
      <c r="G89" s="316">
        <f>+'EJECUCION SOCIAL MAY 24'!P12+'EJECUCION SOCIAL MAY 24'!R12</f>
        <v>1395764.0297600001</v>
      </c>
      <c r="H89" s="316">
        <f>+'EJECUCION SOCIAL JUN 24'!P12+'EJECUCION SOCIAL JUN 24'!R12</f>
        <v>1099543.8553599999</v>
      </c>
      <c r="I89" s="316">
        <f>+'EJECUCION SOCIAL JUL 24'!S12</f>
        <v>1121143.8553599999</v>
      </c>
      <c r="J89" s="316">
        <f>+'EJECUCION SOCIAL AGO 24'!S12</f>
        <v>1121143.8553599999</v>
      </c>
      <c r="K89" s="316">
        <f>+'EJECUCION SOCIAL SEPTIEMBRE'!S12</f>
        <v>968951.85535999993</v>
      </c>
      <c r="L89" s="316">
        <f>+'EJECUCUCION SOCIAL OCTUBRE'!T12+'EJECUCUCION SOCIAL OCTUBRE'!V12</f>
        <v>1321530.50976</v>
      </c>
      <c r="M89" s="316">
        <f>+'EJECUCION SOCIAL NOVIEMBRE'!W12</f>
        <v>939564.50976000004</v>
      </c>
      <c r="N89" s="316">
        <f>+'EJECUCION SOCIAL DICIEMBRE'!W12</f>
        <v>835682.50976000004</v>
      </c>
      <c r="O89" s="317">
        <f>SUM(C89:N89)</f>
        <v>13028699.090479998</v>
      </c>
      <c r="P89" s="318">
        <f t="shared" ref="P89:P110" si="20">+O89/$O$169</f>
        <v>1.5688592487879929E-2</v>
      </c>
      <c r="Q89" s="46"/>
    </row>
    <row r="90" spans="2:17" x14ac:dyDescent="0.25">
      <c r="B90" s="314" t="s">
        <v>183</v>
      </c>
      <c r="C90" s="315">
        <f>+'EJECUCION SOC ENE 24'!S15</f>
        <v>104908.79999999999</v>
      </c>
      <c r="D90" s="316">
        <f>+'EJECUCION SOC FEB 24'!S16</f>
        <v>104908.79999999999</v>
      </c>
      <c r="E90" s="316">
        <f>+'EJECUCION SOCIAL MARZO 24'!S16</f>
        <v>104908.79999999999</v>
      </c>
      <c r="F90" s="316">
        <f>+'EJECUCION SOCIAL ABRIL 24'!S16</f>
        <v>104908.79999999999</v>
      </c>
      <c r="G90" s="316">
        <v>104908.79999999999</v>
      </c>
      <c r="H90" s="316">
        <v>104908.79999999999</v>
      </c>
      <c r="I90" s="316">
        <v>104908.79999999999</v>
      </c>
      <c r="J90" s="316">
        <v>104908.79999999999</v>
      </c>
      <c r="K90" s="316">
        <v>104908.79999999999</v>
      </c>
      <c r="L90" s="316">
        <v>104908.79999999999</v>
      </c>
      <c r="M90" s="316">
        <v>104908.79999999999</v>
      </c>
      <c r="N90" s="316">
        <v>104908.79999999999</v>
      </c>
      <c r="O90" s="317">
        <f t="shared" ref="O90:O119" si="21">SUM(C90:N90)</f>
        <v>1258905.6000000003</v>
      </c>
      <c r="P90" s="318">
        <f t="shared" si="20"/>
        <v>1.5159193409832862E-3</v>
      </c>
      <c r="Q90" s="46"/>
    </row>
    <row r="91" spans="2:17" x14ac:dyDescent="0.25">
      <c r="B91" s="314" t="s">
        <v>81</v>
      </c>
      <c r="C91" s="315"/>
      <c r="D91" s="316"/>
      <c r="E91" s="316"/>
      <c r="F91" s="316"/>
      <c r="G91" s="316">
        <v>0</v>
      </c>
      <c r="H91" s="316">
        <v>0</v>
      </c>
      <c r="I91" s="316">
        <v>0</v>
      </c>
      <c r="J91" s="316">
        <v>0</v>
      </c>
      <c r="K91" s="316">
        <v>0</v>
      </c>
      <c r="L91" s="316">
        <v>0</v>
      </c>
      <c r="M91" s="316">
        <v>0</v>
      </c>
      <c r="N91" s="316">
        <v>0</v>
      </c>
      <c r="O91" s="317">
        <f t="shared" si="21"/>
        <v>0</v>
      </c>
      <c r="P91" s="318">
        <f t="shared" si="20"/>
        <v>0</v>
      </c>
      <c r="Q91" s="46"/>
    </row>
    <row r="92" spans="2:17" x14ac:dyDescent="0.25">
      <c r="B92" s="314" t="s">
        <v>268</v>
      </c>
      <c r="C92" s="315"/>
      <c r="D92" s="316"/>
      <c r="E92" s="316"/>
      <c r="F92" s="316"/>
      <c r="G92" s="316">
        <v>0</v>
      </c>
      <c r="H92" s="316">
        <v>0</v>
      </c>
      <c r="I92" s="316">
        <v>0</v>
      </c>
      <c r="J92" s="316">
        <v>0</v>
      </c>
      <c r="K92" s="316">
        <v>0</v>
      </c>
      <c r="L92" s="316">
        <v>0</v>
      </c>
      <c r="M92" s="316">
        <v>0</v>
      </c>
      <c r="N92" s="316">
        <v>0</v>
      </c>
      <c r="O92" s="317">
        <f t="shared" si="21"/>
        <v>0</v>
      </c>
      <c r="P92" s="318">
        <f t="shared" si="20"/>
        <v>0</v>
      </c>
      <c r="Q92" s="46"/>
    </row>
    <row r="93" spans="2:17" x14ac:dyDescent="0.25">
      <c r="B93" s="314" t="s">
        <v>186</v>
      </c>
      <c r="C93" s="315">
        <f>+'EJECUCION SOC ENE 24'!S17</f>
        <v>160000</v>
      </c>
      <c r="D93" s="316">
        <f>+'EJECUCION SOC FEB 24'!S19</f>
        <v>637500</v>
      </c>
      <c r="E93" s="316"/>
      <c r="F93" s="316">
        <f>+'EJECUCION SOCIAL ABRIL 24'!S19</f>
        <v>318500</v>
      </c>
      <c r="G93" s="316">
        <v>402500</v>
      </c>
      <c r="H93" s="316">
        <v>262500</v>
      </c>
      <c r="I93" s="316">
        <v>262500</v>
      </c>
      <c r="J93" s="316">
        <v>560000</v>
      </c>
      <c r="K93" s="316">
        <v>402500</v>
      </c>
      <c r="L93" s="316">
        <v>367500</v>
      </c>
      <c r="M93" s="316">
        <v>297500</v>
      </c>
      <c r="N93" s="316">
        <v>801500</v>
      </c>
      <c r="O93" s="317">
        <f t="shared" si="21"/>
        <v>4472500</v>
      </c>
      <c r="P93" s="318">
        <f t="shared" si="20"/>
        <v>5.3855898746877811E-3</v>
      </c>
      <c r="Q93" s="46"/>
    </row>
    <row r="94" spans="2:17" x14ac:dyDescent="0.25">
      <c r="B94" s="314" t="s">
        <v>276</v>
      </c>
      <c r="C94" s="315"/>
      <c r="D94" s="316"/>
      <c r="E94" s="316"/>
      <c r="F94" s="316"/>
      <c r="G94" s="316">
        <v>0</v>
      </c>
      <c r="H94" s="316">
        <v>0</v>
      </c>
      <c r="I94" s="316">
        <v>0</v>
      </c>
      <c r="J94" s="316">
        <v>0</v>
      </c>
      <c r="K94" s="316">
        <v>0</v>
      </c>
      <c r="L94" s="316">
        <v>0</v>
      </c>
      <c r="M94" s="316">
        <v>0</v>
      </c>
      <c r="N94" s="316">
        <v>0</v>
      </c>
      <c r="O94" s="317">
        <f t="shared" si="21"/>
        <v>0</v>
      </c>
      <c r="P94" s="318">
        <f t="shared" si="20"/>
        <v>0</v>
      </c>
      <c r="Q94" s="46"/>
    </row>
    <row r="95" spans="2:17" x14ac:dyDescent="0.25">
      <c r="B95" s="314" t="s">
        <v>277</v>
      </c>
      <c r="C95" s="315"/>
      <c r="D95" s="316"/>
      <c r="E95" s="316"/>
      <c r="F95" s="316"/>
      <c r="G95" s="316">
        <v>0</v>
      </c>
      <c r="H95" s="316">
        <v>0</v>
      </c>
      <c r="I95" s="316">
        <v>0</v>
      </c>
      <c r="J95" s="316">
        <v>0</v>
      </c>
      <c r="K95" s="316">
        <v>0</v>
      </c>
      <c r="L95" s="316">
        <v>0</v>
      </c>
      <c r="M95" s="316">
        <v>0</v>
      </c>
      <c r="N95" s="316">
        <v>0</v>
      </c>
      <c r="O95" s="317">
        <f t="shared" si="21"/>
        <v>0</v>
      </c>
      <c r="P95" s="318">
        <f t="shared" si="20"/>
        <v>0</v>
      </c>
      <c r="Q95" s="46"/>
    </row>
    <row r="96" spans="2:17" x14ac:dyDescent="0.25">
      <c r="B96" s="314" t="s">
        <v>121</v>
      </c>
      <c r="C96" s="315"/>
      <c r="D96" s="316"/>
      <c r="E96" s="316"/>
      <c r="F96" s="316"/>
      <c r="G96" s="316">
        <v>0</v>
      </c>
      <c r="H96" s="316">
        <v>206360</v>
      </c>
      <c r="I96" s="316">
        <v>0</v>
      </c>
      <c r="J96" s="316">
        <v>0</v>
      </c>
      <c r="K96" s="316">
        <v>0</v>
      </c>
      <c r="L96" s="316">
        <v>0</v>
      </c>
      <c r="M96" s="316">
        <v>0</v>
      </c>
      <c r="N96" s="316">
        <v>0</v>
      </c>
      <c r="O96" s="317">
        <f t="shared" si="21"/>
        <v>206360</v>
      </c>
      <c r="P96" s="318">
        <f t="shared" si="20"/>
        <v>2.4848973203813764E-4</v>
      </c>
      <c r="Q96" s="46"/>
    </row>
    <row r="97" spans="2:17" x14ac:dyDescent="0.25">
      <c r="B97" s="314" t="s">
        <v>111</v>
      </c>
      <c r="C97" s="315"/>
      <c r="D97" s="315"/>
      <c r="E97" s="315"/>
      <c r="F97" s="315"/>
      <c r="G97" s="315">
        <v>0</v>
      </c>
      <c r="H97" s="315">
        <v>0</v>
      </c>
      <c r="I97" s="315">
        <v>0</v>
      </c>
      <c r="J97" s="315">
        <v>0</v>
      </c>
      <c r="K97" s="315">
        <v>0</v>
      </c>
      <c r="L97" s="315">
        <v>0</v>
      </c>
      <c r="M97" s="315">
        <v>0</v>
      </c>
      <c r="N97" s="315">
        <v>0</v>
      </c>
      <c r="O97" s="317">
        <f t="shared" si="21"/>
        <v>0</v>
      </c>
      <c r="P97" s="318">
        <f t="shared" si="20"/>
        <v>0</v>
      </c>
      <c r="Q97" s="46"/>
    </row>
    <row r="98" spans="2:17" x14ac:dyDescent="0.25">
      <c r="B98" s="314" t="s">
        <v>220</v>
      </c>
      <c r="C98" s="315">
        <f>+'EJECUCION SOC ENE 24'!S21</f>
        <v>9753.75</v>
      </c>
      <c r="D98" s="315">
        <v>10091.900000000001</v>
      </c>
      <c r="E98" s="315">
        <v>9266.9</v>
      </c>
      <c r="F98" s="315">
        <f>+'EJECUCION SOCIAL ABRIL 24'!S24</f>
        <v>21420.7</v>
      </c>
      <c r="G98" s="315">
        <v>9560.85</v>
      </c>
      <c r="H98" s="315">
        <v>9560.85</v>
      </c>
      <c r="I98" s="315">
        <v>10055.85</v>
      </c>
      <c r="J98" s="315">
        <v>9560.85</v>
      </c>
      <c r="K98" s="315">
        <v>9560.85</v>
      </c>
      <c r="L98" s="315">
        <v>9560.85</v>
      </c>
      <c r="M98" s="315">
        <v>8674.5</v>
      </c>
      <c r="N98" s="315">
        <v>2069.75</v>
      </c>
      <c r="O98" s="317">
        <f t="shared" si="21"/>
        <v>119137.60000000002</v>
      </c>
      <c r="P98" s="318">
        <f t="shared" si="20"/>
        <v>1.4346031352813931E-4</v>
      </c>
      <c r="Q98" s="46"/>
    </row>
    <row r="99" spans="2:17" x14ac:dyDescent="0.25">
      <c r="B99" s="314" t="s">
        <v>68</v>
      </c>
      <c r="C99" s="315">
        <f>+'EJECUCION SOC ENE 24'!S22</f>
        <v>10061.050000000001</v>
      </c>
      <c r="D99" s="315">
        <v>11801.6</v>
      </c>
      <c r="E99" s="315">
        <v>11923.35</v>
      </c>
      <c r="F99" s="315"/>
      <c r="G99" s="315">
        <v>11990.95</v>
      </c>
      <c r="H99" s="315">
        <v>11947.900000000001</v>
      </c>
      <c r="I99" s="315">
        <v>11910.25</v>
      </c>
      <c r="J99" s="315">
        <v>11972.2</v>
      </c>
      <c r="K99" s="315">
        <v>12090.400000000001</v>
      </c>
      <c r="L99" s="315">
        <v>11972.2</v>
      </c>
      <c r="M99" s="315">
        <v>35133.75</v>
      </c>
      <c r="N99" s="315">
        <v>0</v>
      </c>
      <c r="O99" s="317">
        <f t="shared" si="21"/>
        <v>140803.65000000002</v>
      </c>
      <c r="P99" s="318">
        <f t="shared" si="20"/>
        <v>1.6954962811829678E-4</v>
      </c>
      <c r="Q99" s="46"/>
    </row>
    <row r="100" spans="2:17" x14ac:dyDescent="0.25">
      <c r="B100" s="314" t="s">
        <v>187</v>
      </c>
      <c r="C100" s="315">
        <f>+'EJECUCION SOC ENE 24'!S23</f>
        <v>30186.9</v>
      </c>
      <c r="D100" s="315">
        <v>181396.80000000002</v>
      </c>
      <c r="E100" s="315">
        <v>0</v>
      </c>
      <c r="F100" s="315"/>
      <c r="G100" s="315">
        <v>0</v>
      </c>
      <c r="H100" s="315">
        <v>44150.100000000006</v>
      </c>
      <c r="I100" s="315">
        <v>0</v>
      </c>
      <c r="J100" s="315">
        <v>0</v>
      </c>
      <c r="K100" s="315">
        <v>0</v>
      </c>
      <c r="L100" s="315">
        <v>0</v>
      </c>
      <c r="M100" s="315">
        <v>14326.2</v>
      </c>
      <c r="N100" s="315">
        <v>0</v>
      </c>
      <c r="O100" s="317">
        <f t="shared" si="21"/>
        <v>270060</v>
      </c>
      <c r="P100" s="318">
        <f t="shared" si="20"/>
        <v>3.2519450006890599E-4</v>
      </c>
      <c r="Q100" s="46"/>
    </row>
    <row r="101" spans="2:17" x14ac:dyDescent="0.25">
      <c r="B101" s="314" t="s">
        <v>188</v>
      </c>
      <c r="C101" s="315">
        <f>+'EJECUCION SOC ENE 24'!S24</f>
        <v>313830.75</v>
      </c>
      <c r="D101" s="315">
        <v>200867.84999999998</v>
      </c>
      <c r="E101" s="315">
        <v>27108.300000000003</v>
      </c>
      <c r="F101" s="315">
        <f>+'EJECUCION SOCIAL ABRIL 24'!S27</f>
        <v>29180.400000000001</v>
      </c>
      <c r="G101" s="315">
        <v>101611.79999999999</v>
      </c>
      <c r="H101" s="315">
        <v>32678.400000000001</v>
      </c>
      <c r="I101" s="315">
        <v>103398.6</v>
      </c>
      <c r="J101" s="315">
        <v>356816.25</v>
      </c>
      <c r="K101" s="315">
        <v>59446.200000000004</v>
      </c>
      <c r="L101" s="315">
        <v>31732.050000000003</v>
      </c>
      <c r="M101" s="315">
        <v>33488.550000000003</v>
      </c>
      <c r="N101" s="315">
        <v>92478.6</v>
      </c>
      <c r="O101" s="317">
        <f t="shared" si="21"/>
        <v>1382637.7500000002</v>
      </c>
      <c r="P101" s="318">
        <f t="shared" si="20"/>
        <v>1.6649122116849852E-3</v>
      </c>
      <c r="Q101" s="46"/>
    </row>
    <row r="102" spans="2:17" x14ac:dyDescent="0.25">
      <c r="B102" s="319" t="s">
        <v>263</v>
      </c>
      <c r="C102" s="315">
        <f>+'EJECUCION SOC ENE 24'!S25</f>
        <v>628950</v>
      </c>
      <c r="D102" s="315"/>
      <c r="E102" s="315">
        <v>0</v>
      </c>
      <c r="F102" s="315"/>
      <c r="G102" s="315">
        <v>0</v>
      </c>
      <c r="H102" s="315">
        <v>0</v>
      </c>
      <c r="I102" s="315">
        <v>0</v>
      </c>
      <c r="J102" s="315">
        <v>0</v>
      </c>
      <c r="K102" s="315">
        <v>0</v>
      </c>
      <c r="L102" s="315">
        <v>0</v>
      </c>
      <c r="M102" s="315">
        <v>0</v>
      </c>
      <c r="N102" s="315">
        <v>0</v>
      </c>
      <c r="O102" s="317">
        <f t="shared" si="21"/>
        <v>628950</v>
      </c>
      <c r="P102" s="318">
        <f t="shared" si="20"/>
        <v>7.5735422061148797E-4</v>
      </c>
      <c r="Q102" s="46"/>
    </row>
    <row r="103" spans="2:17" x14ac:dyDescent="0.25">
      <c r="B103" s="319" t="s">
        <v>108</v>
      </c>
      <c r="C103" s="315"/>
      <c r="D103" s="315"/>
      <c r="E103" s="315">
        <v>0</v>
      </c>
      <c r="F103" s="315"/>
      <c r="G103" s="315">
        <v>0</v>
      </c>
      <c r="H103" s="315">
        <v>0</v>
      </c>
      <c r="I103" s="315">
        <v>0</v>
      </c>
      <c r="J103" s="315">
        <v>0</v>
      </c>
      <c r="K103" s="315">
        <v>0</v>
      </c>
      <c r="L103" s="315">
        <v>0</v>
      </c>
      <c r="M103" s="315">
        <v>0</v>
      </c>
      <c r="N103" s="315">
        <v>0</v>
      </c>
      <c r="O103" s="317">
        <f t="shared" si="21"/>
        <v>0</v>
      </c>
      <c r="P103" s="318">
        <f t="shared" si="20"/>
        <v>0</v>
      </c>
      <c r="Q103" s="46"/>
    </row>
    <row r="104" spans="2:17" x14ac:dyDescent="0.25">
      <c r="B104" s="319" t="s">
        <v>155</v>
      </c>
      <c r="C104" s="315"/>
      <c r="D104" s="315">
        <f>+'EJECUCION SOC FEB 24'!S29</f>
        <v>60800.000000000007</v>
      </c>
      <c r="E104" s="315">
        <v>7600.0000000000009</v>
      </c>
      <c r="F104" s="315">
        <f>+'EJECUCION SOCIAL ABRIL 24'!S30</f>
        <v>16720</v>
      </c>
      <c r="G104" s="315">
        <v>0</v>
      </c>
      <c r="H104" s="315">
        <v>5700</v>
      </c>
      <c r="I104" s="315">
        <v>0</v>
      </c>
      <c r="J104" s="315">
        <v>0</v>
      </c>
      <c r="K104" s="315">
        <v>29260.000000000004</v>
      </c>
      <c r="L104" s="315">
        <v>19323</v>
      </c>
      <c r="M104" s="315">
        <v>0</v>
      </c>
      <c r="N104" s="315">
        <v>0</v>
      </c>
      <c r="O104" s="317">
        <f t="shared" si="21"/>
        <v>139403</v>
      </c>
      <c r="P104" s="318">
        <f t="shared" si="20"/>
        <v>1.6786302633898284E-4</v>
      </c>
      <c r="Q104" s="46"/>
    </row>
    <row r="105" spans="2:17" x14ac:dyDescent="0.25">
      <c r="B105" s="319" t="s">
        <v>115</v>
      </c>
      <c r="C105" s="315"/>
      <c r="D105" s="315"/>
      <c r="E105" s="315"/>
      <c r="F105" s="315"/>
      <c r="G105" s="315">
        <v>0</v>
      </c>
      <c r="H105" s="315">
        <v>0</v>
      </c>
      <c r="I105" s="315">
        <v>0</v>
      </c>
      <c r="J105" s="315">
        <v>0</v>
      </c>
      <c r="K105" s="315">
        <v>0</v>
      </c>
      <c r="L105" s="315">
        <v>0</v>
      </c>
      <c r="M105" s="315">
        <v>0</v>
      </c>
      <c r="N105" s="315">
        <v>0</v>
      </c>
      <c r="O105" s="317">
        <f t="shared" si="21"/>
        <v>0</v>
      </c>
      <c r="P105" s="318">
        <f t="shared" si="20"/>
        <v>0</v>
      </c>
      <c r="Q105" s="46"/>
    </row>
    <row r="106" spans="2:17" x14ac:dyDescent="0.25">
      <c r="B106" s="319" t="s">
        <v>72</v>
      </c>
      <c r="C106" s="315"/>
      <c r="D106" s="315"/>
      <c r="E106" s="315"/>
      <c r="F106" s="315"/>
      <c r="G106" s="315">
        <v>105000</v>
      </c>
      <c r="H106" s="315">
        <v>0</v>
      </c>
      <c r="I106" s="315">
        <v>0</v>
      </c>
      <c r="J106" s="315">
        <v>0</v>
      </c>
      <c r="K106" s="315">
        <v>0</v>
      </c>
      <c r="L106" s="315">
        <v>0</v>
      </c>
      <c r="M106" s="315">
        <v>0</v>
      </c>
      <c r="N106" s="315">
        <v>0</v>
      </c>
      <c r="O106" s="317">
        <f t="shared" si="21"/>
        <v>105000</v>
      </c>
      <c r="P106" s="318">
        <f t="shared" si="20"/>
        <v>1.2643643081994789E-4</v>
      </c>
      <c r="Q106" s="46"/>
    </row>
    <row r="107" spans="2:17" x14ac:dyDescent="0.25">
      <c r="B107" s="319" t="s">
        <v>52</v>
      </c>
      <c r="C107" s="315">
        <f>+'EJECUCION SOC ENE 24'!S30</f>
        <v>2370</v>
      </c>
      <c r="D107" s="315"/>
      <c r="E107" s="315">
        <f>+'EJECUCION SOCIAL MARZO 24'!S32</f>
        <v>619410</v>
      </c>
      <c r="F107" s="315">
        <f>+'EJECUCION SOCIAL ABRIL 24'!S33</f>
        <v>2370</v>
      </c>
      <c r="G107" s="315">
        <v>141150</v>
      </c>
      <c r="H107" s="315">
        <v>0</v>
      </c>
      <c r="I107" s="315">
        <v>0</v>
      </c>
      <c r="J107" s="315">
        <v>2370</v>
      </c>
      <c r="K107" s="315">
        <v>2370</v>
      </c>
      <c r="L107" s="315">
        <v>0</v>
      </c>
      <c r="M107" s="315">
        <v>2370</v>
      </c>
      <c r="N107" s="315">
        <v>0</v>
      </c>
      <c r="O107" s="317">
        <f t="shared" si="21"/>
        <v>772410</v>
      </c>
      <c r="P107" s="318">
        <f t="shared" si="20"/>
        <v>9.3010250980605678E-4</v>
      </c>
      <c r="Q107" s="46"/>
    </row>
    <row r="108" spans="2:17" x14ac:dyDescent="0.25">
      <c r="B108" s="319" t="s">
        <v>189</v>
      </c>
      <c r="C108" s="315"/>
      <c r="D108" s="315">
        <f>+'EJECUCION SOC FEB 24'!S33</f>
        <v>31487.4</v>
      </c>
      <c r="E108" s="315"/>
      <c r="F108" s="315">
        <f>+'EJECUCION SOCIAL ABRIL 24'!S34</f>
        <v>73356.600000000006</v>
      </c>
      <c r="G108" s="315">
        <v>0</v>
      </c>
      <c r="H108" s="315">
        <v>0</v>
      </c>
      <c r="I108" s="315">
        <v>24613.199999999997</v>
      </c>
      <c r="J108" s="315">
        <v>0</v>
      </c>
      <c r="K108" s="315">
        <v>0</v>
      </c>
      <c r="L108" s="315">
        <v>0</v>
      </c>
      <c r="M108" s="315">
        <v>0</v>
      </c>
      <c r="N108" s="315">
        <v>0</v>
      </c>
      <c r="O108" s="317">
        <f t="shared" si="21"/>
        <v>129457.2</v>
      </c>
      <c r="P108" s="318">
        <f t="shared" si="20"/>
        <v>1.5588672678042056E-4</v>
      </c>
      <c r="Q108" s="46"/>
    </row>
    <row r="109" spans="2:17" x14ac:dyDescent="0.25">
      <c r="B109" s="319" t="s">
        <v>190</v>
      </c>
      <c r="C109" s="315"/>
      <c r="D109" s="315"/>
      <c r="E109" s="315"/>
      <c r="F109" s="315"/>
      <c r="G109" s="315">
        <v>0</v>
      </c>
      <c r="H109" s="315">
        <v>0</v>
      </c>
      <c r="I109" s="315">
        <v>0</v>
      </c>
      <c r="J109" s="315">
        <v>0</v>
      </c>
      <c r="K109" s="315">
        <v>0</v>
      </c>
      <c r="L109" s="315">
        <v>0</v>
      </c>
      <c r="M109" s="315">
        <v>0</v>
      </c>
      <c r="N109" s="315">
        <v>0</v>
      </c>
      <c r="O109" s="317">
        <f t="shared" si="21"/>
        <v>0</v>
      </c>
      <c r="P109" s="318">
        <f t="shared" si="20"/>
        <v>0</v>
      </c>
      <c r="Q109" s="46"/>
    </row>
    <row r="110" spans="2:17" x14ac:dyDescent="0.25">
      <c r="B110" s="320" t="s">
        <v>6</v>
      </c>
      <c r="C110" s="315"/>
      <c r="D110" s="315"/>
      <c r="E110" s="315"/>
      <c r="F110" s="315"/>
      <c r="G110" s="315">
        <v>0</v>
      </c>
      <c r="H110" s="315">
        <v>0</v>
      </c>
      <c r="I110" s="315">
        <v>0</v>
      </c>
      <c r="J110" s="315">
        <v>0</v>
      </c>
      <c r="K110" s="315">
        <v>0</v>
      </c>
      <c r="L110" s="315">
        <v>0</v>
      </c>
      <c r="M110" s="315">
        <v>0</v>
      </c>
      <c r="N110" s="315">
        <v>0</v>
      </c>
      <c r="O110" s="317">
        <f t="shared" si="21"/>
        <v>0</v>
      </c>
      <c r="P110" s="318">
        <f t="shared" si="20"/>
        <v>0</v>
      </c>
      <c r="Q110" s="46"/>
    </row>
    <row r="111" spans="2:17" x14ac:dyDescent="0.25">
      <c r="B111" s="320" t="s">
        <v>321</v>
      </c>
      <c r="C111" s="315"/>
      <c r="D111" s="315"/>
      <c r="E111" s="315"/>
      <c r="F111" s="315"/>
      <c r="G111" s="315"/>
      <c r="H111" s="315"/>
      <c r="I111" s="315"/>
      <c r="J111" s="315">
        <v>0</v>
      </c>
      <c r="K111" s="315">
        <v>0</v>
      </c>
      <c r="L111" s="315">
        <v>0</v>
      </c>
      <c r="M111" s="315">
        <v>0</v>
      </c>
      <c r="N111" s="315">
        <v>0</v>
      </c>
      <c r="O111" s="317">
        <f t="shared" si="21"/>
        <v>0</v>
      </c>
      <c r="P111" s="318"/>
      <c r="Q111" s="46"/>
    </row>
    <row r="112" spans="2:17" x14ac:dyDescent="0.25">
      <c r="B112" s="320" t="s">
        <v>191</v>
      </c>
      <c r="C112" s="315">
        <f>+'EJECUCION SOC ENE 24'!S34</f>
        <v>28347.15</v>
      </c>
      <c r="D112" s="315">
        <f>+'EJECUCION SOC FEB 24'!S36</f>
        <v>28347.15</v>
      </c>
      <c r="E112" s="315">
        <v>28347.15</v>
      </c>
      <c r="F112" s="315">
        <f>+'EJECUCION SOCIAL ABRIL 24'!S37</f>
        <v>28347.15</v>
      </c>
      <c r="G112" s="315">
        <v>28347.15</v>
      </c>
      <c r="H112" s="315">
        <v>57925.950000000004</v>
      </c>
      <c r="I112" s="315">
        <v>57925.950000000004</v>
      </c>
      <c r="J112" s="315">
        <v>57925.950000000004</v>
      </c>
      <c r="K112" s="315">
        <v>57925.950000000004</v>
      </c>
      <c r="L112" s="315">
        <v>57925.950000000004</v>
      </c>
      <c r="M112" s="315">
        <v>57925.950000000004</v>
      </c>
      <c r="N112" s="315">
        <v>57925.950000000004</v>
      </c>
      <c r="O112" s="317">
        <f t="shared" si="21"/>
        <v>547217.4</v>
      </c>
      <c r="P112" s="318">
        <f t="shared" ref="P112:P119" si="22">+O112/$O$169</f>
        <v>6.5893538036735017E-4</v>
      </c>
      <c r="Q112" s="46"/>
    </row>
    <row r="113" spans="2:20" x14ac:dyDescent="0.25">
      <c r="B113" s="321" t="s">
        <v>269</v>
      </c>
      <c r="C113" s="315"/>
      <c r="D113" s="315">
        <f>+'EJECUCION SOC FEB 24'!S37</f>
        <v>8330131</v>
      </c>
      <c r="E113" s="315">
        <v>596131</v>
      </c>
      <c r="F113" s="315">
        <f>+'EJECUCION SOCIAL ABRIL 24'!S38</f>
        <v>3934</v>
      </c>
      <c r="G113" s="315">
        <v>155491</v>
      </c>
      <c r="H113" s="315">
        <v>301994</v>
      </c>
      <c r="I113" s="315">
        <v>0</v>
      </c>
      <c r="J113" s="315">
        <v>594328</v>
      </c>
      <c r="K113" s="315">
        <v>478730</v>
      </c>
      <c r="L113" s="315">
        <v>3236071</v>
      </c>
      <c r="M113" s="315">
        <v>571283</v>
      </c>
      <c r="N113" s="315">
        <v>258215</v>
      </c>
      <c r="O113" s="317">
        <f t="shared" si="21"/>
        <v>14526308</v>
      </c>
      <c r="P113" s="318">
        <f t="shared" si="22"/>
        <v>1.7491947966773867E-2</v>
      </c>
      <c r="Q113" s="46"/>
    </row>
    <row r="114" spans="2:20" x14ac:dyDescent="0.25">
      <c r="B114" s="321" t="s">
        <v>192</v>
      </c>
      <c r="C114" s="315"/>
      <c r="D114" s="315">
        <f>+'EJECUCION SOC FEB 24'!S38</f>
        <v>142014</v>
      </c>
      <c r="E114" s="315">
        <v>41330.600000000006</v>
      </c>
      <c r="F114" s="315">
        <v>19859.2</v>
      </c>
      <c r="G114" s="315">
        <v>9398</v>
      </c>
      <c r="H114" s="315">
        <v>159963</v>
      </c>
      <c r="I114" s="315">
        <v>10380</v>
      </c>
      <c r="J114" s="315">
        <v>88240.200000000012</v>
      </c>
      <c r="K114" s="315">
        <v>23099.800000000003</v>
      </c>
      <c r="L114" s="315">
        <v>118384.40000000001</v>
      </c>
      <c r="M114" s="315">
        <v>24203.4</v>
      </c>
      <c r="N114" s="315">
        <v>0</v>
      </c>
      <c r="O114" s="317">
        <f t="shared" si="21"/>
        <v>636872.60000000009</v>
      </c>
      <c r="P114" s="318">
        <f t="shared" si="22"/>
        <v>7.6689427077162252E-4</v>
      </c>
      <c r="Q114" s="46"/>
    </row>
    <row r="115" spans="2:20" x14ac:dyDescent="0.25">
      <c r="B115" s="321" t="s">
        <v>247</v>
      </c>
      <c r="C115" s="315">
        <f>+'EJECUCION SOC ENE 24'!S36</f>
        <v>43044.200000000004</v>
      </c>
      <c r="D115" s="315">
        <f>+'EJECUCION SOC FEB 24'!S39</f>
        <v>47521.8</v>
      </c>
      <c r="E115" s="315">
        <v>61751.8</v>
      </c>
      <c r="F115" s="315">
        <v>27721.4</v>
      </c>
      <c r="G115" s="315">
        <v>46164.4</v>
      </c>
      <c r="H115" s="315">
        <v>0</v>
      </c>
      <c r="I115" s="315">
        <v>18807.2</v>
      </c>
      <c r="J115" s="315">
        <v>35430.400000000001</v>
      </c>
      <c r="K115" s="315">
        <v>49277.8</v>
      </c>
      <c r="L115" s="315">
        <v>42005.600000000006</v>
      </c>
      <c r="M115" s="315">
        <v>0</v>
      </c>
      <c r="N115" s="315">
        <v>9769.8000000000011</v>
      </c>
      <c r="O115" s="317">
        <f t="shared" si="21"/>
        <v>381494.39999999997</v>
      </c>
      <c r="P115" s="318">
        <f t="shared" si="22"/>
        <v>4.5937895536950029E-4</v>
      </c>
      <c r="Q115" s="46"/>
    </row>
    <row r="116" spans="2:20" x14ac:dyDescent="0.25">
      <c r="B116" s="321" t="s">
        <v>48</v>
      </c>
      <c r="C116" s="315">
        <f>+'EJECUCION SOC ENE 24'!S37</f>
        <v>55280</v>
      </c>
      <c r="D116" s="315">
        <f>+'EJECUCION SOC FEB 24'!S40</f>
        <v>82400</v>
      </c>
      <c r="E116" s="315">
        <v>47930</v>
      </c>
      <c r="F116" s="315">
        <v>27600</v>
      </c>
      <c r="G116" s="315">
        <v>49120</v>
      </c>
      <c r="H116" s="315">
        <v>29000</v>
      </c>
      <c r="I116" s="315">
        <v>40400</v>
      </c>
      <c r="J116" s="315">
        <v>30100</v>
      </c>
      <c r="K116" s="315">
        <v>43400</v>
      </c>
      <c r="L116" s="315">
        <v>46200</v>
      </c>
      <c r="M116" s="315">
        <v>17500</v>
      </c>
      <c r="N116" s="315">
        <v>2000</v>
      </c>
      <c r="O116" s="317">
        <f t="shared" si="21"/>
        <v>470930</v>
      </c>
      <c r="P116" s="318">
        <f t="shared" si="22"/>
        <v>5.6707341300988635E-4</v>
      </c>
      <c r="Q116" s="46"/>
    </row>
    <row r="117" spans="2:20" x14ac:dyDescent="0.25">
      <c r="B117" s="321" t="s">
        <v>49</v>
      </c>
      <c r="C117" s="315">
        <f>+'EJECUCION SOC ENE 24'!S38</f>
        <v>1260.6000000000001</v>
      </c>
      <c r="D117" s="315">
        <f>+'EJECUCION SOC FEB 24'!S41</f>
        <v>6060.6</v>
      </c>
      <c r="E117" s="315">
        <v>1260.6000000000001</v>
      </c>
      <c r="F117" s="315">
        <v>7184.7000000000007</v>
      </c>
      <c r="G117" s="315">
        <v>1260.6000000000001</v>
      </c>
      <c r="H117" s="315">
        <v>3781.5</v>
      </c>
      <c r="I117" s="315">
        <v>5042.1000000000004</v>
      </c>
      <c r="J117" s="315">
        <v>0</v>
      </c>
      <c r="K117" s="315">
        <v>8445.3000000000011</v>
      </c>
      <c r="L117" s="315">
        <v>1260.6000000000001</v>
      </c>
      <c r="M117" s="315">
        <v>0</v>
      </c>
      <c r="N117" s="315">
        <v>2521.2000000000003</v>
      </c>
      <c r="O117" s="317">
        <f t="shared" si="21"/>
        <v>38077.800000000003</v>
      </c>
      <c r="P117" s="318">
        <f t="shared" si="22"/>
        <v>4.5851629766436311E-5</v>
      </c>
      <c r="Q117" s="46"/>
    </row>
    <row r="118" spans="2:20" x14ac:dyDescent="0.25">
      <c r="B118" s="321" t="s">
        <v>193</v>
      </c>
      <c r="C118" s="315">
        <f>+'EJECUCION SOC ENE 24'!S39</f>
        <v>223529</v>
      </c>
      <c r="D118" s="315">
        <f>+'EJECUCION SOC FEB 24'!S42</f>
        <v>1530000</v>
      </c>
      <c r="E118" s="315">
        <f>+'EJECUCION SOCIAL MARZO 24'!S42</f>
        <v>361102</v>
      </c>
      <c r="F118" s="315">
        <v>351136</v>
      </c>
      <c r="G118" s="315">
        <v>404481</v>
      </c>
      <c r="H118" s="315">
        <v>1502510</v>
      </c>
      <c r="I118" s="315">
        <v>269109</v>
      </c>
      <c r="J118" s="315">
        <v>966789</v>
      </c>
      <c r="K118" s="315">
        <v>602772</v>
      </c>
      <c r="L118" s="315">
        <v>4005971</v>
      </c>
      <c r="M118" s="315">
        <v>2216150</v>
      </c>
      <c r="N118" s="315">
        <v>2370344</v>
      </c>
      <c r="O118" s="317">
        <f t="shared" si="21"/>
        <v>14803893</v>
      </c>
      <c r="P118" s="318">
        <f t="shared" si="22"/>
        <v>1.7826203744384869E-2</v>
      </c>
      <c r="Q118" s="46"/>
    </row>
    <row r="119" spans="2:20" x14ac:dyDescent="0.25">
      <c r="B119" s="321" t="s">
        <v>70</v>
      </c>
      <c r="C119" s="315">
        <v>0</v>
      </c>
      <c r="D119" s="315">
        <v>0</v>
      </c>
      <c r="E119" s="315">
        <v>0</v>
      </c>
      <c r="F119" s="315">
        <v>0</v>
      </c>
      <c r="G119" s="315">
        <v>0</v>
      </c>
      <c r="H119" s="315">
        <v>0</v>
      </c>
      <c r="I119" s="315">
        <v>0</v>
      </c>
      <c r="J119" s="315">
        <v>0</v>
      </c>
      <c r="K119" s="315">
        <v>90216</v>
      </c>
      <c r="L119" s="315">
        <v>0</v>
      </c>
      <c r="M119" s="315">
        <v>0</v>
      </c>
      <c r="N119" s="315">
        <f>+'EJECUCION SOCIAL DICIEMBRE'!W50</f>
        <v>134190</v>
      </c>
      <c r="O119" s="317">
        <f t="shared" si="21"/>
        <v>224406</v>
      </c>
      <c r="P119" s="318">
        <f t="shared" si="22"/>
        <v>2.7021993994839265E-4</v>
      </c>
      <c r="Q119" s="46"/>
    </row>
    <row r="120" spans="2:20" x14ac:dyDescent="0.25">
      <c r="B120" s="322" t="s">
        <v>287</v>
      </c>
      <c r="C120" s="323">
        <f>SUM(C89:C119)</f>
        <v>2414638.2000000002</v>
      </c>
      <c r="D120" s="323">
        <f t="shared" ref="D120:L120" si="23">SUM(D89:D119)</f>
        <v>12629800.560000001</v>
      </c>
      <c r="E120" s="323">
        <f t="shared" si="23"/>
        <v>2994742.16</v>
      </c>
      <c r="F120" s="323">
        <f t="shared" si="23"/>
        <v>2153353.7399999998</v>
      </c>
      <c r="G120" s="323">
        <f t="shared" si="23"/>
        <v>2966748.5797600001</v>
      </c>
      <c r="H120" s="323">
        <f t="shared" si="23"/>
        <v>3832524.3553599999</v>
      </c>
      <c r="I120" s="323">
        <f t="shared" si="23"/>
        <v>2040194.8053600001</v>
      </c>
      <c r="J120" s="323">
        <f t="shared" si="23"/>
        <v>3939585.5053600003</v>
      </c>
      <c r="K120" s="323">
        <f t="shared" si="23"/>
        <v>2942954.9553599991</v>
      </c>
      <c r="L120" s="323">
        <f t="shared" si="23"/>
        <v>9374345.9597599991</v>
      </c>
      <c r="M120" s="323">
        <f t="shared" ref="M120:O120" si="24">SUM(M89:M119)</f>
        <v>4323028.6597600002</v>
      </c>
      <c r="N120" s="323">
        <f t="shared" si="24"/>
        <v>4671605.6097600004</v>
      </c>
      <c r="O120" s="323">
        <f t="shared" si="24"/>
        <v>54283523.090479992</v>
      </c>
      <c r="P120" s="324">
        <f>SUM(P89:P119)</f>
        <v>6.5365856303738298E-2</v>
      </c>
      <c r="Q120" s="46"/>
      <c r="T120" s="101"/>
    </row>
    <row r="121" spans="2:20" x14ac:dyDescent="0.25">
      <c r="B121" s="277"/>
      <c r="C121" s="261"/>
      <c r="D121" s="261"/>
      <c r="E121" s="261"/>
      <c r="F121" s="261"/>
      <c r="G121" s="261"/>
      <c r="H121" s="261"/>
      <c r="I121" s="261"/>
      <c r="J121" s="278"/>
      <c r="K121" s="278"/>
      <c r="L121" s="278"/>
      <c r="M121" s="278"/>
      <c r="N121" s="278"/>
      <c r="O121" s="278"/>
      <c r="P121" s="279"/>
      <c r="Q121" s="46"/>
      <c r="T121" s="101"/>
    </row>
    <row r="122" spans="2:20" x14ac:dyDescent="0.25">
      <c r="B122" s="270" t="s">
        <v>311</v>
      </c>
      <c r="C122" s="280"/>
      <c r="D122" s="280"/>
      <c r="E122" s="280"/>
      <c r="F122" s="280"/>
      <c r="G122" s="280"/>
      <c r="H122" s="280"/>
      <c r="I122" s="280"/>
      <c r="J122" s="280"/>
      <c r="K122" s="280"/>
      <c r="L122" s="280"/>
      <c r="M122" s="280"/>
      <c r="N122" s="280"/>
      <c r="O122" s="281"/>
      <c r="P122" s="281"/>
      <c r="Q122" s="46"/>
      <c r="T122" s="101"/>
    </row>
    <row r="123" spans="2:20" x14ac:dyDescent="0.25">
      <c r="B123" s="282" t="s">
        <v>308</v>
      </c>
      <c r="C123" s="283">
        <v>0</v>
      </c>
      <c r="D123" s="283"/>
      <c r="E123" s="283"/>
      <c r="F123" s="283">
        <f>+'EJECUCION SOCIAL ABRIL 24'!B47</f>
        <v>47112772</v>
      </c>
      <c r="G123" s="283"/>
      <c r="H123" s="283"/>
      <c r="I123" s="283"/>
      <c r="J123" s="283">
        <v>0</v>
      </c>
      <c r="K123" s="283"/>
      <c r="L123" s="283"/>
      <c r="M123" s="283"/>
      <c r="N123" s="283">
        <v>30000000</v>
      </c>
      <c r="O123" s="280">
        <f>+L123+K123+J123+I123+H123+G123+F123+E123+D123+C123+M123+N123</f>
        <v>77112772</v>
      </c>
      <c r="P123" s="284">
        <f>+O123/$O$169</f>
        <v>9.2855844402975396E-2</v>
      </c>
      <c r="Q123" s="46"/>
      <c r="R123" s="57"/>
      <c r="T123" s="101"/>
    </row>
    <row r="124" spans="2:20" x14ac:dyDescent="0.25">
      <c r="B124" s="282" t="s">
        <v>294</v>
      </c>
      <c r="C124" s="283">
        <v>0</v>
      </c>
      <c r="D124" s="283">
        <f>+'EJECUCION SOC FEB 24'!B45</f>
        <v>400000</v>
      </c>
      <c r="E124" s="283"/>
      <c r="F124" s="283">
        <v>800000</v>
      </c>
      <c r="G124" s="283">
        <f>+'EJECUCION SOCIAL MAY 24'!B48</f>
        <v>400000</v>
      </c>
      <c r="H124" s="283">
        <v>400000</v>
      </c>
      <c r="I124" s="283"/>
      <c r="J124" s="283">
        <v>0</v>
      </c>
      <c r="K124" s="283">
        <f>+'EJECUCION SOCIAL SEPTIEMBRE'!B49</f>
        <v>377200</v>
      </c>
      <c r="L124" s="283"/>
      <c r="M124" s="283"/>
      <c r="N124" s="283"/>
      <c r="O124" s="280">
        <f t="shared" ref="O124:O125" si="25">+L124+K124+J124+I124+H124+G124+F124+E124+D124+C124+M124+N124</f>
        <v>2377200</v>
      </c>
      <c r="P124" s="284">
        <f>+O124/$O$169</f>
        <v>2.8625207937636207E-3</v>
      </c>
      <c r="Q124" s="46"/>
      <c r="T124" s="101"/>
    </row>
    <row r="125" spans="2:20" x14ac:dyDescent="0.25">
      <c r="B125" s="282" t="s">
        <v>309</v>
      </c>
      <c r="C125" s="283">
        <v>0</v>
      </c>
      <c r="D125" s="283"/>
      <c r="E125" s="283"/>
      <c r="F125" s="283">
        <v>100000</v>
      </c>
      <c r="G125" s="283"/>
      <c r="H125" s="283"/>
      <c r="I125" s="283"/>
      <c r="J125" s="283">
        <f>+'EJECUCION SOCIAL AGO 24'!B49</f>
        <v>200000</v>
      </c>
      <c r="K125" s="283"/>
      <c r="L125" s="283">
        <v>3820000</v>
      </c>
      <c r="M125" s="283"/>
      <c r="N125" s="283"/>
      <c r="O125" s="280">
        <f t="shared" si="25"/>
        <v>4120000</v>
      </c>
      <c r="P125" s="284">
        <f>+O125/$O$169</f>
        <v>4.9611247140779555E-3</v>
      </c>
      <c r="Q125" s="46"/>
      <c r="T125" s="101"/>
    </row>
    <row r="126" spans="2:20" x14ac:dyDescent="0.25">
      <c r="B126" s="293" t="s">
        <v>359</v>
      </c>
      <c r="C126" s="294">
        <f>+C123+C124+C125</f>
        <v>0</v>
      </c>
      <c r="D126" s="294">
        <f t="shared" ref="D126:O126" si="26">+D123+D124+D125</f>
        <v>400000</v>
      </c>
      <c r="E126" s="294">
        <f t="shared" si="26"/>
        <v>0</v>
      </c>
      <c r="F126" s="294">
        <f t="shared" si="26"/>
        <v>48012772</v>
      </c>
      <c r="G126" s="294">
        <f t="shared" si="26"/>
        <v>400000</v>
      </c>
      <c r="H126" s="294">
        <f t="shared" si="26"/>
        <v>400000</v>
      </c>
      <c r="I126" s="294">
        <f t="shared" si="26"/>
        <v>0</v>
      </c>
      <c r="J126" s="294">
        <f t="shared" si="26"/>
        <v>200000</v>
      </c>
      <c r="K126" s="294">
        <f t="shared" si="26"/>
        <v>377200</v>
      </c>
      <c r="L126" s="294">
        <f t="shared" si="26"/>
        <v>3820000</v>
      </c>
      <c r="M126" s="294">
        <f t="shared" si="26"/>
        <v>0</v>
      </c>
      <c r="N126" s="294">
        <f t="shared" si="26"/>
        <v>30000000</v>
      </c>
      <c r="O126" s="294">
        <f t="shared" si="26"/>
        <v>83609972</v>
      </c>
      <c r="P126" s="295">
        <f>SUM(P123:P125)</f>
        <v>0.10067948991081697</v>
      </c>
      <c r="Q126" s="46"/>
      <c r="T126" s="101"/>
    </row>
    <row r="127" spans="2:20" x14ac:dyDescent="0.25">
      <c r="B127" s="296" t="s">
        <v>358</v>
      </c>
      <c r="C127" s="297"/>
      <c r="D127" s="297"/>
      <c r="E127" s="297"/>
      <c r="F127" s="297"/>
      <c r="G127" s="297"/>
      <c r="H127" s="297"/>
      <c r="I127" s="297"/>
      <c r="J127" s="297"/>
      <c r="K127" s="297"/>
      <c r="L127" s="297"/>
      <c r="M127" s="297"/>
      <c r="N127" s="297"/>
      <c r="O127" s="297">
        <v>-30000000</v>
      </c>
      <c r="P127" s="298"/>
      <c r="Q127" s="46"/>
      <c r="T127" s="101"/>
    </row>
    <row r="128" spans="2:20" x14ac:dyDescent="0.25">
      <c r="B128" s="285" t="s">
        <v>310</v>
      </c>
      <c r="C128" s="255">
        <f>SUM(C123:C125)</f>
        <v>0</v>
      </c>
      <c r="D128" s="255">
        <f t="shared" ref="D128:L128" si="27">SUM(D123:D125)</f>
        <v>400000</v>
      </c>
      <c r="E128" s="255">
        <f t="shared" si="27"/>
        <v>0</v>
      </c>
      <c r="F128" s="255">
        <f t="shared" si="27"/>
        <v>48012772</v>
      </c>
      <c r="G128" s="255">
        <f t="shared" si="27"/>
        <v>400000</v>
      </c>
      <c r="H128" s="255">
        <f t="shared" si="27"/>
        <v>400000</v>
      </c>
      <c r="I128" s="255">
        <f t="shared" si="27"/>
        <v>0</v>
      </c>
      <c r="J128" s="255">
        <f t="shared" si="27"/>
        <v>200000</v>
      </c>
      <c r="K128" s="255">
        <f t="shared" si="27"/>
        <v>377200</v>
      </c>
      <c r="L128" s="255">
        <f t="shared" si="27"/>
        <v>3820000</v>
      </c>
      <c r="M128" s="255">
        <f>SUM(M123:M125)</f>
        <v>0</v>
      </c>
      <c r="N128" s="255">
        <v>0</v>
      </c>
      <c r="O128" s="255">
        <f>+O126+O127</f>
        <v>53609972</v>
      </c>
      <c r="P128" s="257">
        <f>+O128/O169</f>
        <v>6.4554795390831851E-2</v>
      </c>
      <c r="Q128" s="46"/>
      <c r="T128" s="101"/>
    </row>
    <row r="129" spans="2:20" ht="12" customHeight="1" x14ac:dyDescent="0.25">
      <c r="B129" s="286"/>
      <c r="C129" s="261"/>
      <c r="D129" s="261"/>
      <c r="E129" s="261"/>
      <c r="F129" s="261"/>
      <c r="G129" s="261"/>
      <c r="H129" s="261"/>
      <c r="I129" s="261"/>
      <c r="J129" s="261"/>
      <c r="K129" s="261"/>
      <c r="L129" s="261"/>
      <c r="M129" s="261"/>
      <c r="N129" s="261"/>
      <c r="O129" s="287"/>
      <c r="P129" s="288"/>
      <c r="Q129" s="46"/>
      <c r="T129" s="101"/>
    </row>
    <row r="130" spans="2:20" x14ac:dyDescent="0.25">
      <c r="B130" s="289" t="s">
        <v>315</v>
      </c>
      <c r="C130" s="290"/>
      <c r="D130" s="290"/>
      <c r="E130" s="290"/>
      <c r="F130" s="290"/>
      <c r="G130" s="290"/>
      <c r="H130" s="290"/>
      <c r="I130" s="290"/>
      <c r="J130" s="290"/>
      <c r="K130" s="290"/>
      <c r="L130" s="290"/>
      <c r="M130" s="290"/>
      <c r="N130" s="290"/>
      <c r="O130" s="291"/>
      <c r="P130" s="291"/>
      <c r="Q130" s="46"/>
      <c r="T130" s="57"/>
    </row>
    <row r="131" spans="2:20" x14ac:dyDescent="0.25">
      <c r="B131" s="292" t="s">
        <v>69</v>
      </c>
      <c r="C131" s="259">
        <f>+'EJECUCION SOC ENE 24'!K11</f>
        <v>7469862.4000000004</v>
      </c>
      <c r="D131" s="259">
        <f>+'EJECUCION SOC FEB 24'!K12</f>
        <v>11094033.48</v>
      </c>
      <c r="E131" s="259">
        <f>+'EJECUCION SOCIAL MARZO 24'!K12</f>
        <v>9878969.4800000004</v>
      </c>
      <c r="F131" s="259">
        <f>+'EJECUCION SOCIAL ABRIL 24'!K12</f>
        <v>11249716.58</v>
      </c>
      <c r="G131" s="259">
        <f>+'EJECUCION SOCIAL MAY 24'!K12</f>
        <v>13276667.944800001</v>
      </c>
      <c r="H131" s="259">
        <f>+'EJECUCION SOCIAL JUN 24'!K12</f>
        <v>10449228.1328</v>
      </c>
      <c r="I131" s="259">
        <f>+'EJECUCION SOCIAL JUL 24'!K12</f>
        <v>10530228.1328</v>
      </c>
      <c r="J131" s="259">
        <f>+'EJECUCION SOCIAL AGO 24'!K12</f>
        <v>10530228.1328</v>
      </c>
      <c r="K131" s="259">
        <f>+'EJECUCION SOCIAL SEPTIEMBRE'!K12</f>
        <v>9516428.1327999998</v>
      </c>
      <c r="L131" s="259">
        <f>+'EJECUCUCION SOCIAL OCTUBRE'!F12+'EJECUCUCION SOCIAL OCTUBRE'!H12+'EJECUCUCION SOCIAL OCTUBRE'!J12</f>
        <v>13270630.48</v>
      </c>
      <c r="M131" s="259">
        <f>+'EJECUCION SOCIAL NOVIEMBRE'!F12+'EJECUCION SOCIAL NOVIEMBRE'!H12+'EJECUCION SOCIAL NOVIEMBRE'!J12</f>
        <v>11298630.48</v>
      </c>
      <c r="N131" s="259">
        <f>+'EJECUCION SOCIAL DICIEMBRE'!F12+'EJECUCION SOCIAL DICIEMBRE'!H12+'EJECUCION SOCIAL DICIEMBRE'!J12</f>
        <v>10241230.48</v>
      </c>
      <c r="O131" s="262">
        <f>SUM(C131:N131)</f>
        <v>128805853.85600001</v>
      </c>
      <c r="P131" s="260">
        <f>+O131/$O$169</f>
        <v>0.15510240409779491</v>
      </c>
      <c r="Q131" s="46"/>
      <c r="T131" s="57"/>
    </row>
    <row r="132" spans="2:20" x14ac:dyDescent="0.25">
      <c r="B132" s="292" t="s">
        <v>305</v>
      </c>
      <c r="C132" s="259">
        <f>+'EJECUCION SOC ENE 24'!B56</f>
        <v>91429</v>
      </c>
      <c r="D132" s="259">
        <f>+'EJECUCION SOC FEB 24'!B59</f>
        <v>6104932</v>
      </c>
      <c r="E132" s="259">
        <f>+'EJECUCION SOCIAL MARZO 24'!B60</f>
        <v>17519158</v>
      </c>
      <c r="F132" s="259">
        <f>+'EJECUCION SOCIAL ABRIL 24'!B62</f>
        <v>15191596</v>
      </c>
      <c r="G132" s="259">
        <f>+'EJECUCION SOCIAL MAY 24'!B62</f>
        <v>15398844</v>
      </c>
      <c r="H132" s="259">
        <f>+'EJECUCION SOCIAL JUN 24'!B62</f>
        <v>13033208</v>
      </c>
      <c r="I132" s="259">
        <f>+'EJECUCION SOCIAL JUL 24'!B62</f>
        <v>18163161</v>
      </c>
      <c r="J132" s="259">
        <f>+'EJECUCION SOCIAL AGO 24'!B63</f>
        <v>11416976</v>
      </c>
      <c r="K132" s="259">
        <f>+'EJECUCION SOCIAL SEPTIEMBRE'!B63</f>
        <v>10371828</v>
      </c>
      <c r="L132" s="259">
        <f>+'EJECUCUCION SOCIAL OCTUBRE'!B63</f>
        <v>10779220</v>
      </c>
      <c r="M132" s="259">
        <f>+'EJECUCION SOCIAL NOVIEMBRE'!B63</f>
        <v>10970748</v>
      </c>
      <c r="N132" s="259">
        <f>+'EJECUCION SOCIAL DICIEMBRE'!B63</f>
        <v>12776254</v>
      </c>
      <c r="O132" s="262">
        <f t="shared" ref="O132:O133" si="28">SUM(C132:N132)</f>
        <v>141817354</v>
      </c>
      <c r="P132" s="260">
        <f>+O132/$O$169</f>
        <v>0.17077028636275299</v>
      </c>
      <c r="Q132" s="46"/>
      <c r="T132" s="101"/>
    </row>
    <row r="133" spans="2:20" x14ac:dyDescent="0.25">
      <c r="B133" s="292" t="s">
        <v>306</v>
      </c>
      <c r="C133" s="259">
        <f>+'EJECUCION SOC ENE 24'!K44</f>
        <v>1135254</v>
      </c>
      <c r="D133" s="259">
        <f>+'EJECUCION SOC FEB 24'!K47</f>
        <v>1644585.08</v>
      </c>
      <c r="E133" s="259">
        <f>+'EJECUCION SOCIAL MARZO 24'!K47</f>
        <v>1395577.24</v>
      </c>
      <c r="F133" s="259">
        <f>+'EJECUCION SOCIAL ABRIL 24'!K50</f>
        <v>1384412.7199999997</v>
      </c>
      <c r="G133" s="259">
        <f>+'EJECUCION SOCIAL MAY 24'!K50</f>
        <v>1456500.2399999998</v>
      </c>
      <c r="H133" s="259">
        <f>+'EJECUCION SOCIAL JUN 24'!K50</f>
        <v>1643992.72</v>
      </c>
      <c r="I133" s="259">
        <f>+'EJECUCION SOCIAL JUL 24'!K50</f>
        <v>1445968.88</v>
      </c>
      <c r="J133" s="259">
        <f>+'EJECUCION SOCIAL AGO 24'!K51</f>
        <v>1646970.7999999998</v>
      </c>
      <c r="K133" s="259">
        <f>+'EJECUCION SOCIAL SEPTIEMBRE'!K51</f>
        <v>1415876.56</v>
      </c>
      <c r="L133" s="259">
        <f>+'EJECUCUCION SOCIAL OCTUBRE'!F51+'EJECUCUCION SOCIAL OCTUBRE'!H51+'EJECUCUCION SOCIAL OCTUBRE'!J51</f>
        <v>1400647.44</v>
      </c>
      <c r="M133" s="259">
        <f>+'EJECUCION SOCIAL NOVIEMBRE'!F51+'EJECUCION SOCIAL NOVIEMBRE'!H51+'EJECUCION SOCIAL NOVIEMBRE'!J51</f>
        <v>1500704.24</v>
      </c>
      <c r="N133" s="259">
        <f>+'EJECUCION SOCIAL DICIEMBRE'!F51+'EJECUCION SOCIAL DICIEMBRE'!H51+'EJECUCION SOCIAL DICIEMBRE'!J51</f>
        <v>866392.48</v>
      </c>
      <c r="O133" s="262">
        <f t="shared" si="28"/>
        <v>16936882.399999999</v>
      </c>
      <c r="P133" s="260">
        <f>+O133/$O$169</f>
        <v>2.0394656760697075E-2</v>
      </c>
      <c r="Q133" s="46"/>
      <c r="T133" s="101"/>
    </row>
    <row r="134" spans="2:20" x14ac:dyDescent="0.25">
      <c r="B134" s="293" t="s">
        <v>314</v>
      </c>
      <c r="C134" s="294">
        <f>SUM(C131:C133)</f>
        <v>8696545.4000000004</v>
      </c>
      <c r="D134" s="294">
        <f t="shared" ref="D134:O134" si="29">SUM(D131:D133)</f>
        <v>18843550.560000002</v>
      </c>
      <c r="E134" s="294">
        <f t="shared" si="29"/>
        <v>28793704.719999999</v>
      </c>
      <c r="F134" s="294">
        <f t="shared" si="29"/>
        <v>27825725.299999997</v>
      </c>
      <c r="G134" s="294">
        <f t="shared" si="29"/>
        <v>30132012.184799999</v>
      </c>
      <c r="H134" s="294">
        <f t="shared" si="29"/>
        <v>25126428.852799997</v>
      </c>
      <c r="I134" s="294">
        <f t="shared" si="29"/>
        <v>30139358.012799997</v>
      </c>
      <c r="J134" s="294">
        <f t="shared" si="29"/>
        <v>23594174.932799999</v>
      </c>
      <c r="K134" s="294">
        <f t="shared" si="29"/>
        <v>21304132.692799997</v>
      </c>
      <c r="L134" s="294">
        <f t="shared" si="29"/>
        <v>25450497.920000002</v>
      </c>
      <c r="M134" s="294">
        <f t="shared" si="29"/>
        <v>23770082.719999999</v>
      </c>
      <c r="N134" s="294">
        <f t="shared" si="29"/>
        <v>23883876.960000001</v>
      </c>
      <c r="O134" s="294">
        <f t="shared" si="29"/>
        <v>287560090.25599998</v>
      </c>
      <c r="P134" s="295">
        <f>SUM(P131:P133)</f>
        <v>0.34626734722124497</v>
      </c>
      <c r="Q134" s="294">
        <f>+O37-O134</f>
        <v>57536602.744000018</v>
      </c>
      <c r="T134" s="101"/>
    </row>
    <row r="135" spans="2:20" x14ac:dyDescent="0.25">
      <c r="B135" s="296" t="s">
        <v>317</v>
      </c>
      <c r="C135" s="297"/>
      <c r="D135" s="297"/>
      <c r="E135" s="297"/>
      <c r="F135" s="297"/>
      <c r="G135" s="297"/>
      <c r="H135" s="297"/>
      <c r="I135" s="297"/>
      <c r="J135" s="297"/>
      <c r="K135" s="297"/>
      <c r="L135" s="297"/>
      <c r="M135" s="297"/>
      <c r="N135" s="297"/>
      <c r="O135" s="297">
        <v>-56124647</v>
      </c>
      <c r="P135" s="298"/>
      <c r="Q135" s="46"/>
      <c r="T135" s="101"/>
    </row>
    <row r="136" spans="2:20" x14ac:dyDescent="0.25">
      <c r="B136" s="276" t="s">
        <v>318</v>
      </c>
      <c r="C136" s="255">
        <f>+C134</f>
        <v>8696545.4000000004</v>
      </c>
      <c r="D136" s="255">
        <f>+D134</f>
        <v>18843550.560000002</v>
      </c>
      <c r="E136" s="255">
        <f>+E134</f>
        <v>28793704.719999999</v>
      </c>
      <c r="F136" s="255">
        <v>0</v>
      </c>
      <c r="G136" s="255">
        <v>17648845</v>
      </c>
      <c r="H136" s="255">
        <f t="shared" ref="H136:I136" si="30">+H134</f>
        <v>25126428.852799997</v>
      </c>
      <c r="I136" s="255">
        <f t="shared" si="30"/>
        <v>30139358.012799997</v>
      </c>
      <c r="J136" s="255">
        <f>+J134</f>
        <v>23594174.932799999</v>
      </c>
      <c r="K136" s="255">
        <f>+K134</f>
        <v>21304132.692799997</v>
      </c>
      <c r="L136" s="255">
        <f>+L134</f>
        <v>25450497.920000002</v>
      </c>
      <c r="M136" s="255">
        <f>+M134-5574525</f>
        <v>18195557.719999999</v>
      </c>
      <c r="N136" s="255">
        <f>+N134-N131</f>
        <v>13642646.48</v>
      </c>
      <c r="O136" s="255">
        <f>+O134+O135</f>
        <v>231435443.25599998</v>
      </c>
      <c r="P136" s="257">
        <f>+O136/O169</f>
        <v>0.2786844896240116</v>
      </c>
      <c r="Q136" s="46"/>
    </row>
    <row r="137" spans="2:20" ht="9.75" customHeight="1" x14ac:dyDescent="0.25">
      <c r="B137" s="277"/>
      <c r="C137" s="261"/>
      <c r="D137" s="261"/>
      <c r="E137" s="261"/>
      <c r="F137" s="261"/>
      <c r="G137" s="261"/>
      <c r="H137" s="261"/>
      <c r="I137" s="261"/>
      <c r="J137" s="261"/>
      <c r="K137" s="261"/>
      <c r="L137" s="261"/>
      <c r="M137" s="261"/>
      <c r="N137" s="261"/>
      <c r="O137" s="261"/>
      <c r="P137" s="288"/>
      <c r="Q137" s="46"/>
    </row>
    <row r="138" spans="2:20" ht="15" customHeight="1" x14ac:dyDescent="0.25">
      <c r="B138" s="289" t="s">
        <v>347</v>
      </c>
      <c r="C138" s="261"/>
      <c r="D138" s="261"/>
      <c r="E138" s="261"/>
      <c r="F138" s="261"/>
      <c r="G138" s="261"/>
      <c r="H138" s="261"/>
      <c r="I138" s="261"/>
      <c r="J138" s="261"/>
      <c r="K138" s="261"/>
      <c r="L138" s="261"/>
      <c r="M138" s="261"/>
      <c r="N138" s="261"/>
      <c r="O138" s="261"/>
      <c r="P138" s="288"/>
      <c r="Q138" s="46"/>
    </row>
    <row r="139" spans="2:20" ht="15" customHeight="1" x14ac:dyDescent="0.25">
      <c r="B139" s="292" t="s">
        <v>351</v>
      </c>
      <c r="C139" s="261"/>
      <c r="D139" s="261"/>
      <c r="E139" s="261"/>
      <c r="F139" s="259">
        <v>0</v>
      </c>
      <c r="G139" s="259"/>
      <c r="H139" s="259"/>
      <c r="I139" s="259">
        <v>0</v>
      </c>
      <c r="J139" s="259"/>
      <c r="K139" s="259">
        <v>0</v>
      </c>
      <c r="L139" s="259">
        <f>+'EJECUCUCION SOCIAL OCTUBRE'!L12</f>
        <v>784045.46</v>
      </c>
      <c r="M139" s="259">
        <f>+'EJECUCION SOCIAL NOVIEMBRE'!L12</f>
        <v>576045.46</v>
      </c>
      <c r="N139" s="261">
        <f>+'EJECUCION SOCIAL DICIEMBRE'!L12</f>
        <v>517895.46</v>
      </c>
      <c r="O139" s="262">
        <f>SUM(C139:N139)</f>
        <v>1877986.38</v>
      </c>
      <c r="P139" s="288"/>
      <c r="Q139" s="46"/>
    </row>
    <row r="140" spans="2:20" ht="15" customHeight="1" x14ac:dyDescent="0.25">
      <c r="B140" s="292" t="s">
        <v>306</v>
      </c>
      <c r="C140" s="261"/>
      <c r="D140" s="261"/>
      <c r="E140" s="261"/>
      <c r="F140" s="259">
        <v>2618300</v>
      </c>
      <c r="G140" s="259"/>
      <c r="H140" s="259"/>
      <c r="I140" s="259">
        <v>481300</v>
      </c>
      <c r="J140" s="259"/>
      <c r="K140" s="259">
        <v>902324</v>
      </c>
      <c r="L140" s="259">
        <f>+'EJECUCUCION SOCIAL OCTUBRE'!L51</f>
        <v>3249352</v>
      </c>
      <c r="M140" s="259">
        <f>+'EJECUCION SOCIAL NOVIEMBRE'!L51</f>
        <v>2327586</v>
      </c>
      <c r="N140" s="261">
        <f>+'EJECUCION SOCIAL DICIEMBRE'!L51</f>
        <v>2304836</v>
      </c>
      <c r="O140" s="262">
        <f>SUM(C140:N140)</f>
        <v>11883698</v>
      </c>
      <c r="P140" s="288"/>
      <c r="Q140" s="46"/>
    </row>
    <row r="141" spans="2:20" ht="15" customHeight="1" x14ac:dyDescent="0.25">
      <c r="B141" s="285" t="s">
        <v>348</v>
      </c>
      <c r="C141" s="255">
        <f t="shared" ref="C141" si="31">SUM(C139:C140)</f>
        <v>0</v>
      </c>
      <c r="D141" s="255">
        <f t="shared" ref="D141" si="32">SUM(D139:D140)</f>
        <v>0</v>
      </c>
      <c r="E141" s="255">
        <f t="shared" ref="E141" si="33">SUM(E139:E140)</f>
        <v>0</v>
      </c>
      <c r="F141" s="255">
        <f t="shared" ref="F141" si="34">SUM(F139:F140)</f>
        <v>2618300</v>
      </c>
      <c r="G141" s="255">
        <f t="shared" ref="G141" si="35">SUM(G139:G140)</f>
        <v>0</v>
      </c>
      <c r="H141" s="255">
        <f t="shared" ref="H141" si="36">SUM(H139:H140)</f>
        <v>0</v>
      </c>
      <c r="I141" s="255">
        <f t="shared" ref="I141" si="37">SUM(I139:I140)</f>
        <v>481300</v>
      </c>
      <c r="J141" s="255">
        <f t="shared" ref="J141" si="38">SUM(J139:J140)</f>
        <v>0</v>
      </c>
      <c r="K141" s="255">
        <f t="shared" ref="K141" si="39">SUM(K139:K140)</f>
        <v>902324</v>
      </c>
      <c r="L141" s="255">
        <f t="shared" ref="L141:N141" si="40">SUM(L139:L140)</f>
        <v>4033397.46</v>
      </c>
      <c r="M141" s="255">
        <f t="shared" si="40"/>
        <v>2903631.46</v>
      </c>
      <c r="N141" s="255">
        <f t="shared" si="40"/>
        <v>2822731.46</v>
      </c>
      <c r="O141" s="255">
        <f>SUM(O139:O140)</f>
        <v>13761684.379999999</v>
      </c>
      <c r="P141" s="257">
        <f>+O141/O169</f>
        <v>1.6571221476931693E-2</v>
      </c>
      <c r="Q141" s="294">
        <f>+O28-O141</f>
        <v>26238315.620000001</v>
      </c>
    </row>
    <row r="142" spans="2:20" ht="15" customHeight="1" x14ac:dyDescent="0.25">
      <c r="B142" s="292"/>
      <c r="C142" s="261"/>
      <c r="D142" s="261"/>
      <c r="E142" s="261"/>
      <c r="F142" s="261"/>
      <c r="G142" s="261"/>
      <c r="H142" s="261"/>
      <c r="I142" s="261"/>
      <c r="J142" s="261"/>
      <c r="K142" s="261"/>
      <c r="L142" s="261"/>
      <c r="M142" s="261"/>
      <c r="N142" s="261"/>
      <c r="O142" s="261"/>
      <c r="P142" s="288"/>
      <c r="Q142" s="46"/>
    </row>
    <row r="143" spans="2:20" ht="15" customHeight="1" x14ac:dyDescent="0.25">
      <c r="B143" s="289" t="s">
        <v>349</v>
      </c>
      <c r="C143" s="261"/>
      <c r="D143" s="261"/>
      <c r="E143" s="261"/>
      <c r="F143" s="261"/>
      <c r="G143" s="261"/>
      <c r="H143" s="261"/>
      <c r="I143" s="261"/>
      <c r="J143" s="261"/>
      <c r="K143" s="261"/>
      <c r="L143" s="261"/>
      <c r="M143" s="261"/>
      <c r="N143" s="261"/>
      <c r="O143" s="261"/>
      <c r="P143" s="288"/>
      <c r="Q143" s="46"/>
    </row>
    <row r="144" spans="2:20" ht="15" customHeight="1" x14ac:dyDescent="0.25">
      <c r="B144" s="292" t="s">
        <v>351</v>
      </c>
      <c r="C144" s="261"/>
      <c r="D144" s="261"/>
      <c r="E144" s="261"/>
      <c r="F144" s="259"/>
      <c r="G144" s="259"/>
      <c r="H144" s="259"/>
      <c r="I144" s="259"/>
      <c r="J144" s="259"/>
      <c r="K144" s="259"/>
      <c r="L144" s="259">
        <f>+'EJECUCUCION SOCIAL OCTUBRE'!N12</f>
        <v>433225.46</v>
      </c>
      <c r="M144" s="259">
        <f>+'EJECUCION SOCIAL NOVIEMBRE'!N12</f>
        <v>350025.46</v>
      </c>
      <c r="N144" s="259">
        <f>+'EJECUCION SOCIAL DICIEMBRE'!N12</f>
        <v>316835.46000000002</v>
      </c>
      <c r="O144" s="262">
        <f>SUM(C144:N144)</f>
        <v>1100086.3800000001</v>
      </c>
      <c r="P144" s="288"/>
      <c r="Q144" s="46"/>
    </row>
    <row r="145" spans="2:17" ht="15" customHeight="1" x14ac:dyDescent="0.25">
      <c r="B145" s="292" t="s">
        <v>306</v>
      </c>
      <c r="C145" s="261"/>
      <c r="D145" s="261"/>
      <c r="E145" s="261"/>
      <c r="F145" s="259"/>
      <c r="G145" s="259"/>
      <c r="H145" s="259"/>
      <c r="I145" s="259"/>
      <c r="J145" s="259"/>
      <c r="K145" s="259"/>
      <c r="L145" s="259">
        <f>+'EJECUCUCION SOCIAL OCTUBRE'!N51</f>
        <v>70840.799999999988</v>
      </c>
      <c r="M145" s="259">
        <f>+'EJECUCION SOCIAL NOVIEMBRE'!N51</f>
        <v>64840.799999999996</v>
      </c>
      <c r="N145" s="259">
        <f>+'EJECUCION SOCIAL DICIEMBRE'!N51</f>
        <v>108040.79999999999</v>
      </c>
      <c r="O145" s="262">
        <f>SUM(C145:N145)</f>
        <v>243722.39999999997</v>
      </c>
      <c r="P145" s="288"/>
      <c r="Q145" s="46"/>
    </row>
    <row r="146" spans="2:17" ht="15" customHeight="1" x14ac:dyDescent="0.25">
      <c r="B146" s="285" t="s">
        <v>348</v>
      </c>
      <c r="C146" s="255"/>
      <c r="D146" s="255"/>
      <c r="E146" s="255"/>
      <c r="F146" s="255">
        <f>+F144</f>
        <v>0</v>
      </c>
      <c r="G146" s="255"/>
      <c r="H146" s="255"/>
      <c r="I146" s="255">
        <f>+I144</f>
        <v>0</v>
      </c>
      <c r="J146" s="255"/>
      <c r="K146" s="255">
        <f>+K144</f>
        <v>0</v>
      </c>
      <c r="L146" s="255">
        <f>SUM(L144:L145)</f>
        <v>504066.26</v>
      </c>
      <c r="M146" s="255">
        <f>SUM(M144:M145)</f>
        <v>414866.26</v>
      </c>
      <c r="N146" s="255">
        <f>SUM(N144:N145)</f>
        <v>424876.26</v>
      </c>
      <c r="O146" s="255">
        <f>SUM(O144:O145)</f>
        <v>1343808.78</v>
      </c>
      <c r="P146" s="257">
        <f>+O146/O169</f>
        <v>1.6181560556924627E-3</v>
      </c>
      <c r="Q146" s="294">
        <f>+O34-O146</f>
        <v>6856191.2199999997</v>
      </c>
    </row>
    <row r="147" spans="2:17" ht="15" customHeight="1" x14ac:dyDescent="0.25">
      <c r="B147" s="292"/>
      <c r="C147" s="261"/>
      <c r="D147" s="261"/>
      <c r="E147" s="261"/>
      <c r="F147" s="261"/>
      <c r="G147" s="261"/>
      <c r="H147" s="261"/>
      <c r="I147" s="261"/>
      <c r="J147" s="261"/>
      <c r="K147" s="261"/>
      <c r="L147" s="261"/>
      <c r="M147" s="261"/>
      <c r="N147" s="261"/>
      <c r="O147" s="261"/>
      <c r="P147" s="288"/>
      <c r="Q147" s="46"/>
    </row>
    <row r="148" spans="2:17" ht="33.75" customHeight="1" x14ac:dyDescent="0.25">
      <c r="B148" s="299" t="s">
        <v>316</v>
      </c>
      <c r="C148" s="290"/>
      <c r="D148" s="290"/>
      <c r="E148" s="290"/>
      <c r="F148" s="290"/>
      <c r="G148" s="290"/>
      <c r="H148" s="290"/>
      <c r="I148" s="290"/>
      <c r="J148" s="290"/>
      <c r="K148" s="290"/>
      <c r="L148" s="290"/>
      <c r="M148" s="290"/>
      <c r="N148" s="290"/>
      <c r="O148" s="291"/>
      <c r="P148" s="291"/>
      <c r="Q148" s="46"/>
    </row>
    <row r="149" spans="2:17" x14ac:dyDescent="0.25">
      <c r="B149" s="292" t="s">
        <v>69</v>
      </c>
      <c r="C149" s="259">
        <f>+'EJECUCION SOC ENE 24'!N11</f>
        <v>35555.599999999999</v>
      </c>
      <c r="D149" s="259">
        <f>+'EJECUCION SOC FEB 24'!M12</f>
        <v>45555.6</v>
      </c>
      <c r="E149" s="259">
        <f>+'EJECUCION SOCIAL MARZO 24'!N12</f>
        <v>45555.6</v>
      </c>
      <c r="F149" s="259">
        <f>+'EJECUCION SOCIAL ABRIL 24'!N12</f>
        <v>63777.840000000004</v>
      </c>
      <c r="G149" s="259">
        <f>+'EJECUCION SOCIAL MAY 24'!N12</f>
        <v>66854.87288000001</v>
      </c>
      <c r="H149" s="259">
        <f>+'EJECUCION SOCIAL JUN 24'!N12</f>
        <v>50238.715680000001</v>
      </c>
      <c r="I149" s="259">
        <f>+'EJECUCION SOCIAL JUL 24'!N12</f>
        <v>50238.715680000001</v>
      </c>
      <c r="J149" s="259">
        <f>+'EJECUCION SOCIAL AGO 24'!M12</f>
        <v>50238.715680000001</v>
      </c>
      <c r="K149" s="259">
        <f>+'EJECUCION SOCIAL SEPTIEMBRE'!M12</f>
        <v>50238.715680000001</v>
      </c>
      <c r="L149" s="259">
        <f>+'EJECUCUCION SOCIAL OCTUBRE'!R12</f>
        <v>50207.215680000001</v>
      </c>
      <c r="M149" s="259">
        <f>+'EJECUCION SOCIAL NOVIEMBRE'!R12</f>
        <v>52669.215680000001</v>
      </c>
      <c r="N149" s="259">
        <f>+'EJECUCION SOCIAL DICIEMBRE'!R12</f>
        <v>44363.215680000001</v>
      </c>
      <c r="O149" s="262">
        <f>SUM(C149:N149)</f>
        <v>605494.0226400001</v>
      </c>
      <c r="P149" s="260">
        <f t="shared" ref="P149:P150" si="41">+O149/$O$169</f>
        <v>7.2910955338489848E-4</v>
      </c>
      <c r="Q149" s="46"/>
    </row>
    <row r="150" spans="2:17" x14ac:dyDescent="0.25">
      <c r="B150" s="292" t="s">
        <v>313</v>
      </c>
      <c r="C150" s="259">
        <f>+'EJECUCION SOC ENE 24'!N44</f>
        <v>130056.64</v>
      </c>
      <c r="D150" s="259">
        <f>+'EJECUCION SOC FEB 24'!M47</f>
        <v>13595028.800000001</v>
      </c>
      <c r="E150" s="259">
        <f>+'EJECUCION SOCIAL MARZO 24'!N47</f>
        <v>13232543.050000001</v>
      </c>
      <c r="F150" s="259">
        <f>+'EJECUCION SOCIAL ABRIL 24'!N50</f>
        <v>15623226.15</v>
      </c>
      <c r="G150" s="259">
        <f>+'EJECUCION SOCIAL MAY 24'!N50</f>
        <v>14845584.550000001</v>
      </c>
      <c r="H150" s="259">
        <f>+'EJECUCION SOCIAL JUN 24'!N50</f>
        <v>15142620.529999999</v>
      </c>
      <c r="I150" s="259">
        <f>+'EJECUCION SOCIAL JUL 24'!N50+319801</f>
        <v>14223982.199999999</v>
      </c>
      <c r="J150" s="259">
        <f>+'EJECUCION SOCIAL AGO 24'!M51</f>
        <v>14853197.85</v>
      </c>
      <c r="K150" s="259">
        <f>+'EJECUCION SOCIAL SEPTIEMBRE'!M51</f>
        <v>14879824.720000001</v>
      </c>
      <c r="L150" s="259">
        <f>+'EJECUCUCION SOCIAL OCTUBRE'!R51</f>
        <v>15294336.85</v>
      </c>
      <c r="M150" s="259">
        <f>+'EJECUCION SOCIAL NOVIEMBRE'!R51</f>
        <v>14187589.5</v>
      </c>
      <c r="N150" s="259">
        <f>+'EJECUCION SOCIAL DICIEMBRE'!R51</f>
        <v>13704920.859999999</v>
      </c>
      <c r="O150" s="262">
        <f>SUM(C150:N150)</f>
        <v>159712911.69999999</v>
      </c>
      <c r="P150" s="260">
        <f t="shared" si="41"/>
        <v>0.1923193382019952</v>
      </c>
      <c r="Q150" s="46"/>
    </row>
    <row r="151" spans="2:17" ht="26.25" customHeight="1" x14ac:dyDescent="0.25">
      <c r="B151" s="300" t="s">
        <v>307</v>
      </c>
      <c r="C151" s="255">
        <f>SUM(C149:C150)</f>
        <v>165612.24</v>
      </c>
      <c r="D151" s="255">
        <f t="shared" ref="D151:L151" si="42">SUM(D149:D150)</f>
        <v>13640584.4</v>
      </c>
      <c r="E151" s="255">
        <f t="shared" si="42"/>
        <v>13278098.65</v>
      </c>
      <c r="F151" s="255">
        <f t="shared" si="42"/>
        <v>15687003.99</v>
      </c>
      <c r="G151" s="255">
        <f t="shared" si="42"/>
        <v>14912439.422880001</v>
      </c>
      <c r="H151" s="255">
        <f t="shared" si="42"/>
        <v>15192859.245679999</v>
      </c>
      <c r="I151" s="255">
        <f t="shared" si="42"/>
        <v>14274220.915679999</v>
      </c>
      <c r="J151" s="255">
        <f t="shared" si="42"/>
        <v>14903436.565679999</v>
      </c>
      <c r="K151" s="255">
        <f t="shared" si="42"/>
        <v>14930063.43568</v>
      </c>
      <c r="L151" s="255">
        <f t="shared" si="42"/>
        <v>15344544.065679999</v>
      </c>
      <c r="M151" s="255">
        <f t="shared" ref="M151:O151" si="43">SUM(M149:M150)</f>
        <v>14240258.715679999</v>
      </c>
      <c r="N151" s="255">
        <f t="shared" si="43"/>
        <v>13749284.075679999</v>
      </c>
      <c r="O151" s="255">
        <f t="shared" si="43"/>
        <v>160318405.72263998</v>
      </c>
      <c r="P151" s="257">
        <f>SUM(P149:P150)</f>
        <v>0.1930484477553801</v>
      </c>
      <c r="Q151" s="313">
        <f>+(O27+O29)-O151</f>
        <v>-2416405.7226399779</v>
      </c>
    </row>
    <row r="152" spans="2:17" ht="26.25" customHeight="1" x14ac:dyDescent="0.25">
      <c r="B152" s="301" t="s">
        <v>350</v>
      </c>
      <c r="C152" s="302">
        <f>+O120+O126+O134+O141+O146+O151</f>
        <v>600877484.22912002</v>
      </c>
      <c r="D152" s="303">
        <f>+C152/O169</f>
        <v>0.72355051872380449</v>
      </c>
      <c r="E152" s="294"/>
      <c r="F152" s="294"/>
      <c r="G152" s="294"/>
      <c r="H152" s="294"/>
      <c r="I152" s="294"/>
      <c r="J152" s="294"/>
      <c r="K152" s="294"/>
      <c r="L152" s="294"/>
      <c r="M152" s="294"/>
      <c r="N152" s="294"/>
      <c r="O152" s="294"/>
      <c r="P152" s="295"/>
      <c r="Q152" s="312"/>
    </row>
    <row r="153" spans="2:17" x14ac:dyDescent="0.25">
      <c r="B153" s="286"/>
      <c r="C153" s="261"/>
      <c r="D153" s="261"/>
      <c r="E153" s="261"/>
      <c r="F153" s="261"/>
      <c r="G153" s="261"/>
      <c r="H153" s="261"/>
      <c r="I153" s="261"/>
      <c r="J153" s="261"/>
      <c r="K153" s="261"/>
      <c r="L153" s="261"/>
      <c r="M153" s="261"/>
      <c r="N153" s="261"/>
      <c r="O153" s="287"/>
      <c r="P153" s="288"/>
      <c r="Q153" s="46"/>
    </row>
    <row r="154" spans="2:17" x14ac:dyDescent="0.25">
      <c r="B154" s="289" t="s">
        <v>235</v>
      </c>
      <c r="C154" s="290"/>
      <c r="D154" s="290"/>
      <c r="E154" s="290"/>
      <c r="F154" s="290"/>
      <c r="G154" s="290"/>
      <c r="H154" s="290"/>
      <c r="I154" s="290"/>
      <c r="J154" s="290"/>
      <c r="K154" s="290"/>
      <c r="L154" s="290"/>
      <c r="M154" s="290"/>
      <c r="N154" s="290"/>
      <c r="O154" s="291"/>
      <c r="P154" s="291"/>
      <c r="Q154" s="46"/>
    </row>
    <row r="155" spans="2:17" x14ac:dyDescent="0.25">
      <c r="B155" s="286" t="s">
        <v>237</v>
      </c>
      <c r="C155" s="261"/>
      <c r="D155" s="261"/>
      <c r="E155" s="261"/>
      <c r="F155" s="261"/>
      <c r="G155" s="261"/>
      <c r="H155" s="261"/>
      <c r="I155" s="261"/>
      <c r="J155" s="261"/>
      <c r="K155" s="261"/>
      <c r="L155" s="261"/>
      <c r="M155" s="261"/>
      <c r="N155" s="261"/>
      <c r="O155" s="287"/>
      <c r="P155" s="287"/>
      <c r="Q155" s="46"/>
    </row>
    <row r="156" spans="2:17" x14ac:dyDescent="0.25">
      <c r="B156" s="292" t="s">
        <v>69</v>
      </c>
      <c r="C156" s="259">
        <f>+'EJECUCION SOC ENE 24'!X11</f>
        <v>2434038</v>
      </c>
      <c r="D156" s="259">
        <f>+'EJECUCION SOC FEB 24'!X12</f>
        <v>3390495.66</v>
      </c>
      <c r="E156" s="259">
        <f>+'EJECUCION SOCIAL MARZO 24'!X12</f>
        <v>3192495.66</v>
      </c>
      <c r="F156" s="259">
        <f>+'EJECUCION SOCIAL ABRIL 24'!X12</f>
        <v>3896148.3900000006</v>
      </c>
      <c r="G156" s="259">
        <f>+'EJECUCION SOCIAL MAY 24'!X12</f>
        <v>4399478.94496</v>
      </c>
      <c r="H156" s="259">
        <f>+'EJECUCION SOCIAL JUN 24'!X12</f>
        <v>3378612.4825599999</v>
      </c>
      <c r="I156" s="259">
        <f>+'EJECUCION SOCIAL JUL 24'!X12</f>
        <v>3414612.4825599999</v>
      </c>
      <c r="J156" s="259">
        <f>+'EJECUCION SOCIAL AGO 24'!X12</f>
        <v>3414612.4825599999</v>
      </c>
      <c r="K156" s="259">
        <f>+'EJECUCION SOCIAL SEPTIEMBRE'!X12</f>
        <v>3192052.4825599999</v>
      </c>
      <c r="L156" s="259">
        <f>+'EJECUCUCION SOCIAL OCTUBRE'!Y12+'EJECUCUCION SOCIAL OCTUBRE'!AA12</f>
        <v>3013559.1369599998</v>
      </c>
      <c r="M156" s="259">
        <f>+'EJECUCION SOCIAL NOVIEMBRE'!AB12</f>
        <v>2788473.1369599998</v>
      </c>
      <c r="N156" s="259">
        <f>+'EJECUCION SOCIAL DICIEMBRE'!AB12</f>
        <v>2398131.1369599998</v>
      </c>
      <c r="O156" s="262">
        <f>SUM(C156:N156)</f>
        <v>38912709.996080004</v>
      </c>
      <c r="P156" s="260">
        <f t="shared" ref="P156:P158" si="44">+O156/$O$169</f>
        <v>4.6856992051772045E-2</v>
      </c>
      <c r="Q156" s="46"/>
    </row>
    <row r="157" spans="2:17" x14ac:dyDescent="0.25">
      <c r="B157" s="292" t="s">
        <v>236</v>
      </c>
      <c r="C157" s="259">
        <v>43740109</v>
      </c>
      <c r="D157" s="259">
        <v>5500000</v>
      </c>
      <c r="E157" s="259">
        <v>2258000</v>
      </c>
      <c r="F157" s="259">
        <v>3000000</v>
      </c>
      <c r="G157" s="259">
        <v>3000000</v>
      </c>
      <c r="H157" s="259">
        <v>8000000</v>
      </c>
      <c r="I157" s="259">
        <v>3256000</v>
      </c>
      <c r="J157" s="259">
        <v>2800000</v>
      </c>
      <c r="K157" s="259">
        <v>8000000</v>
      </c>
      <c r="L157" s="259">
        <v>5000000</v>
      </c>
      <c r="M157" s="259">
        <v>11000000</v>
      </c>
      <c r="N157" s="259">
        <v>21000000</v>
      </c>
      <c r="O157" s="262">
        <f t="shared" ref="O157:O158" si="45">SUM(C157:N157)</f>
        <v>116554109</v>
      </c>
      <c r="P157" s="260">
        <f t="shared" si="44"/>
        <v>0.14034938608913494</v>
      </c>
      <c r="Q157" s="46"/>
    </row>
    <row r="158" spans="2:17" ht="27" customHeight="1" x14ac:dyDescent="0.25">
      <c r="B158" s="304" t="s">
        <v>312</v>
      </c>
      <c r="C158" s="259">
        <f>+'EJECUCION SOC ENE 24'!X44</f>
        <v>6033841.9399999995</v>
      </c>
      <c r="D158" s="259">
        <f>+'EJECUCION SOC FEB 24'!X47-200000</f>
        <v>5334065.0999999996</v>
      </c>
      <c r="E158" s="259">
        <f>+'EJECUCION SOCIAL MARZO 24'!W47</f>
        <v>2555353.23</v>
      </c>
      <c r="F158" s="259">
        <v>1647922</v>
      </c>
      <c r="G158" s="259">
        <f>+'EJECUCION SOCIAL MAY 24'!X50-200000</f>
        <v>3657309.2399999998</v>
      </c>
      <c r="H158" s="259">
        <f>+'EJECUCION SOCIAL JUN 24'!X50-200000</f>
        <v>3677839.540000001</v>
      </c>
      <c r="I158" s="259">
        <f>+'EJECUCION SOCIAL JUL 24'!W50</f>
        <v>2049000.27</v>
      </c>
      <c r="J158" s="259">
        <f>+'EJECUCION SOCIAL AGO 24'!X51</f>
        <v>4062097.3899999997</v>
      </c>
      <c r="K158" s="259">
        <f>+'EJECUCION SOCIAL SEPTIEMBRE'!X51-188600</f>
        <v>2439626.11</v>
      </c>
      <c r="L158" s="259">
        <f>+('EJECUCUCION SOCIAL OCTUBRE'!Y51+'EJECUCUCION SOCIAL OCTUBRE'!AA51)-'EJECUCUCION SOCIAL OCTUBRE'!AB49</f>
        <v>2385354.75</v>
      </c>
      <c r="M158" s="259">
        <f>+'EJECUCION SOCIAL NOVIEMBRE'!AB51</f>
        <v>2116098.2999999998</v>
      </c>
      <c r="N158" s="259">
        <f>+'EJECUCION SOCIAL DICIEMBRE'!AB51</f>
        <v>3498779.75</v>
      </c>
      <c r="O158" s="262">
        <f t="shared" si="45"/>
        <v>39457287.61999999</v>
      </c>
      <c r="P158" s="260">
        <f t="shared" si="44"/>
        <v>4.7512748728656337E-2</v>
      </c>
      <c r="Q158" s="46"/>
    </row>
    <row r="159" spans="2:17" x14ac:dyDescent="0.25">
      <c r="B159" s="276" t="s">
        <v>238</v>
      </c>
      <c r="C159" s="255">
        <f>SUM(C156:C158)</f>
        <v>52207988.939999998</v>
      </c>
      <c r="D159" s="255">
        <f t="shared" ref="D159:L159" si="46">SUM(D156:D158)</f>
        <v>14224560.76</v>
      </c>
      <c r="E159" s="255">
        <f t="shared" si="46"/>
        <v>8005848.8900000006</v>
      </c>
      <c r="F159" s="255">
        <f t="shared" si="46"/>
        <v>8544070.3900000006</v>
      </c>
      <c r="G159" s="255">
        <f t="shared" si="46"/>
        <v>11056788.18496</v>
      </c>
      <c r="H159" s="255">
        <f t="shared" si="46"/>
        <v>15056452.02256</v>
      </c>
      <c r="I159" s="255">
        <f t="shared" si="46"/>
        <v>8719612.752559999</v>
      </c>
      <c r="J159" s="255">
        <f t="shared" si="46"/>
        <v>10276709.872559998</v>
      </c>
      <c r="K159" s="255">
        <f t="shared" si="46"/>
        <v>13631678.592559999</v>
      </c>
      <c r="L159" s="255">
        <f t="shared" si="46"/>
        <v>10398913.88696</v>
      </c>
      <c r="M159" s="255">
        <f t="shared" ref="M159:O159" si="47">SUM(M156:M158)</f>
        <v>15904571.436960001</v>
      </c>
      <c r="N159" s="255">
        <f t="shared" si="47"/>
        <v>26896910.88696</v>
      </c>
      <c r="O159" s="255">
        <f t="shared" si="47"/>
        <v>194924106.61607999</v>
      </c>
      <c r="P159" s="257">
        <f>SUM(P156:P158)</f>
        <v>0.23471912686956331</v>
      </c>
      <c r="Q159" s="313">
        <f>+O9-O159</f>
        <v>-14570803.616079986</v>
      </c>
    </row>
    <row r="160" spans="2:17" x14ac:dyDescent="0.25">
      <c r="B160" s="277" t="s">
        <v>239</v>
      </c>
      <c r="C160" s="259"/>
      <c r="D160" s="259"/>
      <c r="E160" s="259"/>
      <c r="F160" s="259"/>
      <c r="G160" s="259"/>
      <c r="H160" s="259"/>
      <c r="I160" s="259"/>
      <c r="J160" s="259"/>
      <c r="K160" s="259"/>
      <c r="L160" s="259"/>
      <c r="M160" s="259"/>
      <c r="N160" s="259"/>
      <c r="O160" s="259"/>
      <c r="P160" s="287"/>
      <c r="Q160" s="46"/>
    </row>
    <row r="161" spans="2:18" x14ac:dyDescent="0.25">
      <c r="B161" s="292" t="s">
        <v>69</v>
      </c>
      <c r="C161" s="259">
        <f>+'EJECUCION SOC ENE 24'!AA11</f>
        <v>984414</v>
      </c>
      <c r="D161" s="259">
        <f>+'EJECUCION SOC FEB 24'!AA12</f>
        <v>1669856</v>
      </c>
      <c r="E161" s="259">
        <f>+'EJECUCION SOCIAL ABRIL 24'!Z12</f>
        <v>1275598.3999999999</v>
      </c>
      <c r="F161" s="259">
        <f>+'EJECUCION SOCIAL ABRIL 24'!Z12</f>
        <v>1275598.3999999999</v>
      </c>
      <c r="G161" s="259">
        <f>+'EJECUCION SOCIAL MAY 24'!Z12</f>
        <v>1820968.7288000002</v>
      </c>
      <c r="H161" s="259">
        <f>+'EJECUCION SOCIAL JUN 24'!AA12</f>
        <v>1394807.1568</v>
      </c>
      <c r="I161" s="259">
        <f>+'EJECUCION SOCIAL JUL 24'!Z12</f>
        <v>1400207.1568</v>
      </c>
      <c r="J161" s="259">
        <f>+'EJECUCION SOCIAL AGO 24'!AA12</f>
        <v>1400207.1568</v>
      </c>
      <c r="K161" s="259">
        <f>+'EJECUCION SOCIAL SEPTIEMBRE'!AA12</f>
        <v>1152279.1568</v>
      </c>
      <c r="L161" s="259">
        <f>+'EJECUCUCION SOCIAL OCTUBRE'!AD12</f>
        <v>1719292.1568</v>
      </c>
      <c r="M161" s="259">
        <f>+'EJECUCION SOCIAL NOVIEMBRE'!AD12</f>
        <v>1419112.1568</v>
      </c>
      <c r="N161" s="259">
        <f>+'EJECUCION SOCIAL DICIEMBRE'!AE12</f>
        <v>1202892.1568</v>
      </c>
      <c r="O161" s="262">
        <f>SUM(C161:N161)</f>
        <v>16715232.626399999</v>
      </c>
      <c r="P161" s="260">
        <f t="shared" ref="P161:P162" si="48">+O161/$O$169</f>
        <v>2.0127755748639616E-2</v>
      </c>
      <c r="Q161" s="46"/>
    </row>
    <row r="162" spans="2:18" ht="26.25" customHeight="1" x14ac:dyDescent="0.25">
      <c r="B162" s="304" t="s">
        <v>312</v>
      </c>
      <c r="C162" s="259">
        <f>+'EJECUCION SOC ENE 24'!AA44</f>
        <v>1178102.8199999998</v>
      </c>
      <c r="D162" s="259">
        <f>+'EJECUCION SOC FEB 24'!AA47-200000</f>
        <v>1128732.22</v>
      </c>
      <c r="E162" s="259">
        <f>+'EJECUCION SOCIAL MARZO 24'!Z47</f>
        <v>602032.97</v>
      </c>
      <c r="F162" s="259">
        <v>4854497</v>
      </c>
      <c r="G162" s="259">
        <f>+'EJECUCION SOCIAL JUN 24'!Z50-200000</f>
        <v>1305826.51</v>
      </c>
      <c r="H162" s="259">
        <f>+'EJECUCION SOCIAL JUN 24'!AA50-200000</f>
        <v>1305826.51</v>
      </c>
      <c r="I162" s="259">
        <f>+'EJECUCION SOCIAL JUL 24'!Z50-'EJECUCION SOCIAL JUL 24'!Z46</f>
        <v>5371497.7599999998</v>
      </c>
      <c r="J162" s="259">
        <f>+'EJECUCION SOCIAL AGO 24'!AA51</f>
        <v>1470975.41</v>
      </c>
      <c r="K162" s="259">
        <v>994847</v>
      </c>
      <c r="L162" s="259">
        <f>+'EJECUCUCION SOCIAL OCTUBRE'!AD51-'EJECUCUCION SOCIAL OCTUBRE'!AD49</f>
        <v>931336.60999999987</v>
      </c>
      <c r="M162" s="259">
        <f>+'EJECUCION SOCIAL NOVIEMBRE'!AE51</f>
        <v>2500386.81</v>
      </c>
      <c r="N162" s="259">
        <f>+'EJECUCION SOCIAL DICIEMBRE'!AD51</f>
        <v>1451099.31</v>
      </c>
      <c r="O162" s="262">
        <f>SUM(C162:N162)</f>
        <v>23095160.929999996</v>
      </c>
      <c r="P162" s="260">
        <f t="shared" si="48"/>
        <v>2.7810187782871507E-2</v>
      </c>
      <c r="Q162" s="46"/>
    </row>
    <row r="163" spans="2:18" x14ac:dyDescent="0.25">
      <c r="B163" s="254" t="s">
        <v>240</v>
      </c>
      <c r="C163" s="305">
        <f>SUM(C161:C162)</f>
        <v>2162516.8199999998</v>
      </c>
      <c r="D163" s="305">
        <f t="shared" ref="D163:J163" si="49">SUM(D161:D162)</f>
        <v>2798588.2199999997</v>
      </c>
      <c r="E163" s="305">
        <f t="shared" si="49"/>
        <v>1877631.3699999999</v>
      </c>
      <c r="F163" s="305">
        <f t="shared" si="49"/>
        <v>6130095.4000000004</v>
      </c>
      <c r="G163" s="305">
        <f t="shared" si="49"/>
        <v>3126795.2388000004</v>
      </c>
      <c r="H163" s="305">
        <f t="shared" si="49"/>
        <v>2700633.6667999998</v>
      </c>
      <c r="I163" s="305">
        <f t="shared" si="49"/>
        <v>6771704.9167999998</v>
      </c>
      <c r="J163" s="305">
        <f t="shared" si="49"/>
        <v>2871182.5668000001</v>
      </c>
      <c r="K163" s="305">
        <f t="shared" ref="K163:O163" si="50">SUM(K161:K162)</f>
        <v>2147126.1568</v>
      </c>
      <c r="L163" s="305">
        <f t="shared" si="50"/>
        <v>2650628.7667999999</v>
      </c>
      <c r="M163" s="305">
        <f t="shared" si="50"/>
        <v>3919498.9668000001</v>
      </c>
      <c r="N163" s="305">
        <f t="shared" si="50"/>
        <v>2653991.4668000001</v>
      </c>
      <c r="O163" s="305">
        <f t="shared" si="50"/>
        <v>39810393.556399994</v>
      </c>
      <c r="P163" s="257">
        <f>SUM(P161:P162)</f>
        <v>4.7937943531511124E-2</v>
      </c>
      <c r="Q163" s="294">
        <f>+O10-O163</f>
        <v>74983606.443599999</v>
      </c>
    </row>
    <row r="164" spans="2:18" x14ac:dyDescent="0.25">
      <c r="B164" s="286"/>
      <c r="C164" s="268"/>
      <c r="D164" s="286"/>
      <c r="E164" s="286"/>
      <c r="F164" s="286"/>
      <c r="G164" s="286"/>
      <c r="H164" s="286"/>
      <c r="I164" s="286"/>
      <c r="J164" s="286"/>
      <c r="K164" s="286"/>
      <c r="L164" s="286"/>
      <c r="M164" s="286"/>
      <c r="N164" s="286"/>
      <c r="O164" s="250"/>
      <c r="P164" s="286"/>
      <c r="Q164" s="46"/>
    </row>
    <row r="165" spans="2:18" x14ac:dyDescent="0.25">
      <c r="B165" s="306" t="s">
        <v>7</v>
      </c>
      <c r="C165" s="307"/>
      <c r="D165" s="306"/>
      <c r="E165" s="306"/>
      <c r="F165" s="306"/>
      <c r="G165" s="306"/>
      <c r="H165" s="306"/>
      <c r="I165" s="306"/>
      <c r="J165" s="306"/>
      <c r="K165" s="306"/>
      <c r="L165" s="306"/>
      <c r="M165" s="306"/>
      <c r="N165" s="306"/>
      <c r="O165" s="306"/>
      <c r="P165" s="306"/>
      <c r="Q165" s="46"/>
    </row>
    <row r="166" spans="2:18" x14ac:dyDescent="0.25">
      <c r="B166" s="251" t="s">
        <v>8</v>
      </c>
      <c r="C166" s="259">
        <v>1684495</v>
      </c>
      <c r="D166" s="259">
        <v>864889</v>
      </c>
      <c r="E166" s="259">
        <v>530272</v>
      </c>
      <c r="F166" s="259">
        <v>475614</v>
      </c>
      <c r="G166" s="259">
        <f>690023-189888</f>
        <v>500135</v>
      </c>
      <c r="H166" s="259">
        <f>+'ER AJUSTADO ENE-JUL CC 2024'!G136</f>
        <v>629919</v>
      </c>
      <c r="I166" s="259">
        <v>624810</v>
      </c>
      <c r="J166" s="259">
        <v>555268</v>
      </c>
      <c r="K166" s="259">
        <v>646835</v>
      </c>
      <c r="L166" s="259">
        <v>728526</v>
      </c>
      <c r="M166" s="259">
        <v>884255</v>
      </c>
      <c r="N166" s="259">
        <v>1628618</v>
      </c>
      <c r="O166" s="262">
        <f>SUM(C166:N166)</f>
        <v>9753636</v>
      </c>
      <c r="P166" s="260">
        <f t="shared" ref="P166:P167" si="51">+O166/$O$169</f>
        <v>1.1744904031970985E-2</v>
      </c>
      <c r="Q166" s="46"/>
    </row>
    <row r="167" spans="2:18" x14ac:dyDescent="0.25">
      <c r="B167" s="251" t="s">
        <v>50</v>
      </c>
      <c r="C167" s="259"/>
      <c r="D167" s="259"/>
      <c r="E167" s="259"/>
      <c r="F167" s="259"/>
      <c r="G167" s="259"/>
      <c r="H167" s="259">
        <v>6245</v>
      </c>
      <c r="I167" s="259"/>
      <c r="J167" s="259"/>
      <c r="K167" s="259">
        <v>300720</v>
      </c>
      <c r="L167" s="259">
        <v>0</v>
      </c>
      <c r="M167" s="259">
        <v>0</v>
      </c>
      <c r="N167" s="259"/>
      <c r="O167" s="262">
        <f>SUM(C167:N167)</f>
        <v>306965</v>
      </c>
      <c r="P167" s="260">
        <f t="shared" si="51"/>
        <v>3.6963389511090772E-4</v>
      </c>
      <c r="Q167" s="46"/>
    </row>
    <row r="168" spans="2:18" x14ac:dyDescent="0.25">
      <c r="B168" s="254" t="s">
        <v>34</v>
      </c>
      <c r="C168" s="255">
        <f>SUM(C166:C167)</f>
        <v>1684495</v>
      </c>
      <c r="D168" s="255">
        <f t="shared" ref="D168:L168" si="52">SUM(D166:D167)</f>
        <v>864889</v>
      </c>
      <c r="E168" s="255">
        <f t="shared" si="52"/>
        <v>530272</v>
      </c>
      <c r="F168" s="255">
        <f t="shared" si="52"/>
        <v>475614</v>
      </c>
      <c r="G168" s="255">
        <f t="shared" si="52"/>
        <v>500135</v>
      </c>
      <c r="H168" s="255">
        <f t="shared" si="52"/>
        <v>636164</v>
      </c>
      <c r="I168" s="255">
        <f t="shared" si="52"/>
        <v>624810</v>
      </c>
      <c r="J168" s="255">
        <f t="shared" si="52"/>
        <v>555268</v>
      </c>
      <c r="K168" s="255">
        <f t="shared" si="52"/>
        <v>947555</v>
      </c>
      <c r="L168" s="255">
        <f t="shared" si="52"/>
        <v>728526</v>
      </c>
      <c r="M168" s="255">
        <f t="shared" ref="M168:O168" si="53">SUM(M166:M167)</f>
        <v>884255</v>
      </c>
      <c r="N168" s="255">
        <f t="shared" si="53"/>
        <v>1628618</v>
      </c>
      <c r="O168" s="255">
        <f t="shared" si="53"/>
        <v>10060601</v>
      </c>
      <c r="P168" s="257">
        <f>SUM(P166:P167)</f>
        <v>1.2114537927081894E-2</v>
      </c>
      <c r="Q168" s="46"/>
    </row>
    <row r="169" spans="2:18" x14ac:dyDescent="0.25">
      <c r="B169" s="308" t="s">
        <v>36</v>
      </c>
      <c r="C169" s="309">
        <f t="shared" ref="C169:O169" si="54">+C84+C120+C128+C136+C141+C146+C151+C159+C163+C168</f>
        <v>70703958</v>
      </c>
      <c r="D169" s="309">
        <f t="shared" si="54"/>
        <v>70270625.400000006</v>
      </c>
      <c r="E169" s="309">
        <f t="shared" si="54"/>
        <v>61250913.989999995</v>
      </c>
      <c r="F169" s="309">
        <f t="shared" si="54"/>
        <v>89562181.120000005</v>
      </c>
      <c r="G169" s="309">
        <f t="shared" si="54"/>
        <v>57638347.677200004</v>
      </c>
      <c r="H169" s="309">
        <f t="shared" si="54"/>
        <v>69056915.591999993</v>
      </c>
      <c r="I169" s="309">
        <f t="shared" si="54"/>
        <v>69023397.551999986</v>
      </c>
      <c r="J169" s="309">
        <f t="shared" si="54"/>
        <v>62504569.89199999</v>
      </c>
      <c r="K169" s="309">
        <f t="shared" si="54"/>
        <v>62715468.281999998</v>
      </c>
      <c r="L169" s="309">
        <f t="shared" si="54"/>
        <v>79031936.167999998</v>
      </c>
      <c r="M169" s="309">
        <f t="shared" si="54"/>
        <v>66724156.16799999</v>
      </c>
      <c r="N169" s="309">
        <f t="shared" si="54"/>
        <v>71974378.688000008</v>
      </c>
      <c r="O169" s="309">
        <f t="shared" si="54"/>
        <v>830456849.49399984</v>
      </c>
      <c r="P169" s="310">
        <f>+P120+P128+P136+P141+P146+P151+P159+P163+P168+P84</f>
        <v>1.0000000000000002</v>
      </c>
      <c r="Q169" s="311"/>
    </row>
    <row r="170" spans="2:18" x14ac:dyDescent="0.25">
      <c r="B170" s="254" t="s">
        <v>73</v>
      </c>
      <c r="C170" s="255">
        <f t="shared" ref="C170:O170" si="55">+C44-C169</f>
        <v>18554247</v>
      </c>
      <c r="D170" s="255">
        <f t="shared" si="55"/>
        <v>-34708411.680000007</v>
      </c>
      <c r="E170" s="255">
        <f t="shared" si="55"/>
        <v>25882117.010000005</v>
      </c>
      <c r="F170" s="255">
        <f t="shared" si="55"/>
        <v>27024663.879999995</v>
      </c>
      <c r="G170" s="255">
        <f t="shared" si="55"/>
        <v>-23181608.677200004</v>
      </c>
      <c r="H170" s="255">
        <f t="shared" si="55"/>
        <v>2483641.4080000073</v>
      </c>
      <c r="I170" s="255">
        <f t="shared" si="55"/>
        <v>6930134.4480000138</v>
      </c>
      <c r="J170" s="255">
        <f t="shared" si="55"/>
        <v>-14850751.89199999</v>
      </c>
      <c r="K170" s="255">
        <f t="shared" si="55"/>
        <v>42363484.118000008</v>
      </c>
      <c r="L170" s="255">
        <f t="shared" si="55"/>
        <v>16343154.832000002</v>
      </c>
      <c r="M170" s="255">
        <f t="shared" si="55"/>
        <v>8903962.8320000097</v>
      </c>
      <c r="N170" s="255">
        <f t="shared" si="55"/>
        <v>14941269.311999992</v>
      </c>
      <c r="O170" s="294">
        <f t="shared" si="55"/>
        <v>90685901.626000166</v>
      </c>
      <c r="P170" s="255"/>
      <c r="Q170" s="46"/>
      <c r="R170" s="245"/>
    </row>
    <row r="171" spans="2:18" x14ac:dyDescent="0.25">
      <c r="E171" s="57"/>
      <c r="F171" s="162"/>
      <c r="O171" s="217"/>
    </row>
    <row r="172" spans="2:18" x14ac:dyDescent="0.25">
      <c r="E172" s="162"/>
      <c r="O172" s="223"/>
    </row>
  </sheetData>
  <mergeCells count="4">
    <mergeCell ref="B1:P1"/>
    <mergeCell ref="B2:P2"/>
    <mergeCell ref="B3:P3"/>
    <mergeCell ref="B4:P4"/>
  </mergeCells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46A60-20E8-4427-9055-67B4510E7866}">
  <dimension ref="A1:AD69"/>
  <sheetViews>
    <sheetView topLeftCell="A32" workbookViewId="0">
      <selection activeCell="F66" sqref="F66"/>
    </sheetView>
  </sheetViews>
  <sheetFormatPr baseColWidth="10" defaultRowHeight="15" x14ac:dyDescent="0.25"/>
  <cols>
    <col min="1" max="1" width="40.42578125" customWidth="1"/>
    <col min="2" max="2" width="16.5703125" customWidth="1"/>
    <col min="3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3" width="9.85546875" customWidth="1"/>
    <col min="14" max="14" width="14.2851562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1" max="21" width="11.5703125" customWidth="1"/>
    <col min="22" max="22" width="13.7109375" customWidth="1"/>
    <col min="24" max="24" width="13.28515625" customWidth="1"/>
    <col min="25" max="25" width="12.85546875" customWidth="1"/>
    <col min="26" max="26" width="12.28515625" customWidth="1"/>
    <col min="27" max="27" width="15.140625" customWidth="1"/>
  </cols>
  <sheetData>
    <row r="1" spans="1:30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0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0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69" t="s">
        <v>95</v>
      </c>
      <c r="O3" s="333" t="s">
        <v>96</v>
      </c>
      <c r="P3" s="334"/>
      <c r="Q3" s="72" t="s">
        <v>97</v>
      </c>
      <c r="R3" s="72"/>
      <c r="S3" s="69" t="s">
        <v>224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100</v>
      </c>
      <c r="AB3" s="97"/>
      <c r="AC3" s="97"/>
    </row>
    <row r="4" spans="1:30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300</v>
      </c>
      <c r="O4" s="75" t="s">
        <v>162</v>
      </c>
      <c r="P4" s="75" t="s">
        <v>176</v>
      </c>
      <c r="Q4" s="76" t="s">
        <v>163</v>
      </c>
      <c r="R4" s="76" t="s">
        <v>176</v>
      </c>
      <c r="S4" s="71" t="s">
        <v>171</v>
      </c>
      <c r="T4" s="77" t="s">
        <v>164</v>
      </c>
      <c r="U4" s="77" t="s">
        <v>176</v>
      </c>
      <c r="V4" s="78" t="s">
        <v>165</v>
      </c>
      <c r="W4" s="78" t="s">
        <v>176</v>
      </c>
      <c r="X4" s="71" t="s">
        <v>301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0" x14ac:dyDescent="0.25">
      <c r="A5" s="46" t="s">
        <v>67</v>
      </c>
      <c r="B5" s="90">
        <f>+' NOMINAS ENE-DIC'!I56+' NOMINAS ENE-DIC'!I66</f>
        <v>4555560</v>
      </c>
      <c r="C5" s="91">
        <f>+'%'!B4</f>
        <v>0.35</v>
      </c>
      <c r="D5" s="93">
        <f t="shared" ref="D5:D11" si="0">+B5*C5</f>
        <v>1594446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45555.6</v>
      </c>
      <c r="N5" s="93">
        <f>+M5</f>
        <v>45555.6</v>
      </c>
      <c r="O5" s="86">
        <f>+'%'!G4</f>
        <v>0.02</v>
      </c>
      <c r="P5" s="87">
        <f t="shared" ref="P5:P11" si="6">+O5*B5</f>
        <v>91111.2</v>
      </c>
      <c r="Q5" s="86">
        <f>+'%'!H4</f>
        <v>0.05</v>
      </c>
      <c r="R5" s="87">
        <f t="shared" ref="R5:R11" si="7">+Q5*B5</f>
        <v>227778</v>
      </c>
      <c r="S5" s="93">
        <f>+P5+R5</f>
        <v>318889.2</v>
      </c>
      <c r="T5" s="88">
        <f>+'%'!I4</f>
        <v>0.2</v>
      </c>
      <c r="U5" s="89">
        <f t="shared" ref="U5:U11" si="8">+T5*B5</f>
        <v>911112</v>
      </c>
      <c r="V5" s="88">
        <f>+'%'!J4</f>
        <v>0.27</v>
      </c>
      <c r="W5" s="89">
        <f t="shared" ref="W5:W11" si="9">+V5*B5</f>
        <v>1230001.2000000002</v>
      </c>
      <c r="X5" s="93">
        <f>+U5+W5</f>
        <v>2141113.2000000002</v>
      </c>
      <c r="Y5" s="88">
        <f>+'%'!K4</f>
        <v>0.1</v>
      </c>
      <c r="Z5" s="89">
        <f t="shared" ref="Z5:Z11" si="10">+Y5*B5</f>
        <v>455556</v>
      </c>
      <c r="AA5" s="93">
        <f>+Z5</f>
        <v>455556</v>
      </c>
      <c r="AB5" s="81">
        <f>+(D5+K5+N5+S5+X5+AA5)-B5</f>
        <v>0</v>
      </c>
      <c r="AC5" s="82">
        <f t="shared" ref="AC5:AC12" si="11">+C5+E5+G5+I5+L5+O5+Q5+T5+V5+Y5</f>
        <v>1</v>
      </c>
    </row>
    <row r="6" spans="1:30" x14ac:dyDescent="0.25">
      <c r="A6" s="46" t="s">
        <v>74</v>
      </c>
      <c r="B6" s="90">
        <f>+' NOMINAS ENE-DIC'!I58+' NOMINAS ENE-DIC'!I68</f>
        <v>3255585.2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1302234.08</v>
      </c>
      <c r="G6" s="122">
        <f>+'%'!D5</f>
        <v>0.6</v>
      </c>
      <c r="H6" s="123">
        <f t="shared" si="2"/>
        <v>1953351.12</v>
      </c>
      <c r="I6" s="122">
        <f>+'%'!E5</f>
        <v>0</v>
      </c>
      <c r="J6" s="123">
        <f t="shared" si="3"/>
        <v>0</v>
      </c>
      <c r="K6" s="93">
        <f t="shared" si="4"/>
        <v>3255585.2</v>
      </c>
      <c r="L6" s="86">
        <f>+'%'!F5</f>
        <v>0</v>
      </c>
      <c r="M6" s="87">
        <f t="shared" si="5"/>
        <v>0</v>
      </c>
      <c r="N6" s="93">
        <f t="shared" ref="N6:N12" si="12">+M6</f>
        <v>0</v>
      </c>
      <c r="O6" s="86">
        <f>+'%'!G5</f>
        <v>0</v>
      </c>
      <c r="P6" s="87">
        <f t="shared" si="6"/>
        <v>0</v>
      </c>
      <c r="Q6" s="86">
        <f>+'%'!H5</f>
        <v>0</v>
      </c>
      <c r="R6" s="87">
        <f t="shared" si="7"/>
        <v>0</v>
      </c>
      <c r="S6" s="93">
        <f t="shared" ref="S6:S12" si="13">+P6+R6</f>
        <v>0</v>
      </c>
      <c r="T6" s="88">
        <f>+'%'!I5</f>
        <v>0</v>
      </c>
      <c r="U6" s="89">
        <f t="shared" si="8"/>
        <v>0</v>
      </c>
      <c r="V6" s="88">
        <f>+'%'!J5</f>
        <v>0</v>
      </c>
      <c r="W6" s="89">
        <f t="shared" si="9"/>
        <v>0</v>
      </c>
      <c r="X6" s="93">
        <f t="shared" ref="X6:X12" si="14">+U6+W6</f>
        <v>0</v>
      </c>
      <c r="Y6" s="88">
        <f>+'%'!K5</f>
        <v>0</v>
      </c>
      <c r="Z6" s="89">
        <f t="shared" si="10"/>
        <v>0</v>
      </c>
      <c r="AA6" s="93">
        <f t="shared" ref="AA6:AA12" si="15">+Z6</f>
        <v>0</v>
      </c>
      <c r="AB6" s="81">
        <f t="shared" ref="AB6:AB12" si="16">+(D6+K6+N6+S6+X6+AA6)-B6</f>
        <v>0</v>
      </c>
      <c r="AC6" s="82">
        <f t="shared" si="11"/>
        <v>1</v>
      </c>
    </row>
    <row r="7" spans="1:30" x14ac:dyDescent="0.25">
      <c r="A7" s="46" t="s">
        <v>109</v>
      </c>
      <c r="B7" s="90">
        <f>+' NOMINAS ENE-DIC'!I55+' NOMINAS ENE-DIC'!I65</f>
        <v>3227649.2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806912.3</v>
      </c>
      <c r="G7" s="122">
        <f>+'%'!D7</f>
        <v>0.45</v>
      </c>
      <c r="H7" s="123">
        <f t="shared" si="2"/>
        <v>1452442.1400000001</v>
      </c>
      <c r="I7" s="122">
        <f>+'%'!E7</f>
        <v>0.2</v>
      </c>
      <c r="J7" s="123">
        <f t="shared" si="3"/>
        <v>645529.84000000008</v>
      </c>
      <c r="K7" s="93">
        <f t="shared" si="4"/>
        <v>2904884.2800000003</v>
      </c>
      <c r="L7" s="86">
        <f>+'%'!F7</f>
        <v>0</v>
      </c>
      <c r="M7" s="87">
        <f t="shared" si="5"/>
        <v>0</v>
      </c>
      <c r="N7" s="93">
        <f t="shared" si="12"/>
        <v>0</v>
      </c>
      <c r="O7" s="86">
        <f>+'%'!G7</f>
        <v>0</v>
      </c>
      <c r="P7" s="87">
        <f t="shared" si="6"/>
        <v>0</v>
      </c>
      <c r="Q7" s="86">
        <f>+'%'!H7</f>
        <v>0.05</v>
      </c>
      <c r="R7" s="87">
        <f t="shared" si="7"/>
        <v>161382.46000000002</v>
      </c>
      <c r="S7" s="93">
        <f t="shared" si="13"/>
        <v>161382.46000000002</v>
      </c>
      <c r="T7" s="88">
        <f>+'%'!I7</f>
        <v>0</v>
      </c>
      <c r="U7" s="89">
        <v>0</v>
      </c>
      <c r="V7" s="88">
        <f>+'%'!J7</f>
        <v>0.05</v>
      </c>
      <c r="W7" s="89">
        <f t="shared" si="9"/>
        <v>161382.46000000002</v>
      </c>
      <c r="X7" s="93">
        <f t="shared" si="14"/>
        <v>161382.46000000002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</row>
    <row r="8" spans="1:30" x14ac:dyDescent="0.25">
      <c r="A8" s="46" t="s">
        <v>266</v>
      </c>
      <c r="B8" s="90">
        <f>+' NOMINAS ENE-DIC'!I57+' NOMINAS ENE-DIC'!I67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86">
        <v>0</v>
      </c>
      <c r="P8" s="87">
        <f t="shared" si="6"/>
        <v>0</v>
      </c>
      <c r="Q8" s="86">
        <v>0</v>
      </c>
      <c r="R8" s="87">
        <f t="shared" si="7"/>
        <v>0</v>
      </c>
      <c r="S8" s="93">
        <f t="shared" si="13"/>
        <v>0</v>
      </c>
      <c r="T8" s="88">
        <v>0</v>
      </c>
      <c r="U8" s="89">
        <v>0</v>
      </c>
      <c r="V8" s="88">
        <v>0</v>
      </c>
      <c r="W8" s="8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0" x14ac:dyDescent="0.25">
      <c r="A9" s="46" t="s">
        <v>184</v>
      </c>
      <c r="B9" s="90">
        <f>+' NOMINAS ENE-DIC'!B74</f>
        <v>4240000</v>
      </c>
      <c r="C9" s="91">
        <f>+'%'!B8</f>
        <v>0.2</v>
      </c>
      <c r="D9" s="93">
        <f t="shared" si="0"/>
        <v>848000</v>
      </c>
      <c r="E9" s="122">
        <f>+'%'!C8</f>
        <v>0.1</v>
      </c>
      <c r="F9" s="123">
        <f t="shared" si="1"/>
        <v>424000</v>
      </c>
      <c r="G9" s="122">
        <f>+'%'!D8</f>
        <v>0.3</v>
      </c>
      <c r="H9" s="123">
        <f t="shared" si="2"/>
        <v>1272000</v>
      </c>
      <c r="I9" s="122">
        <f>+'%'!E8</f>
        <v>0.1</v>
      </c>
      <c r="J9" s="123">
        <f t="shared" si="3"/>
        <v>424000</v>
      </c>
      <c r="K9" s="93">
        <f t="shared" si="4"/>
        <v>2120000</v>
      </c>
      <c r="L9" s="86">
        <f>+'%'!F8</f>
        <v>0</v>
      </c>
      <c r="M9" s="87">
        <f t="shared" si="5"/>
        <v>0</v>
      </c>
      <c r="N9" s="93">
        <f t="shared" si="12"/>
        <v>0</v>
      </c>
      <c r="O9" s="86">
        <v>0.02</v>
      </c>
      <c r="P9" s="87">
        <f t="shared" si="6"/>
        <v>84800</v>
      </c>
      <c r="Q9" s="86">
        <f>+'%'!H8</f>
        <v>0.05</v>
      </c>
      <c r="R9" s="87">
        <f t="shared" si="7"/>
        <v>212000</v>
      </c>
      <c r="S9" s="93">
        <f t="shared" si="13"/>
        <v>296800</v>
      </c>
      <c r="T9" s="88">
        <f>+'%'!I8</f>
        <v>0</v>
      </c>
      <c r="U9" s="89">
        <v>0</v>
      </c>
      <c r="V9" s="88">
        <f>+'%'!J8</f>
        <v>0.1</v>
      </c>
      <c r="W9" s="89">
        <f t="shared" si="9"/>
        <v>424000</v>
      </c>
      <c r="X9" s="93">
        <f t="shared" si="14"/>
        <v>424000</v>
      </c>
      <c r="Y9" s="88">
        <v>0.13</v>
      </c>
      <c r="Z9" s="89">
        <f t="shared" si="10"/>
        <v>551200</v>
      </c>
      <c r="AA9" s="93">
        <f t="shared" si="15"/>
        <v>551200</v>
      </c>
      <c r="AB9" s="81">
        <f t="shared" si="16"/>
        <v>0</v>
      </c>
      <c r="AC9" s="82">
        <f t="shared" si="11"/>
        <v>1</v>
      </c>
    </row>
    <row r="10" spans="1:30" x14ac:dyDescent="0.25">
      <c r="A10" s="46" t="s">
        <v>51</v>
      </c>
      <c r="B10" s="90">
        <f>+' NOMINAS ENE-DIC'!B75</f>
        <v>2000000</v>
      </c>
      <c r="C10" s="91">
        <f>+'%'!B8</f>
        <v>0.2</v>
      </c>
      <c r="D10" s="93">
        <f t="shared" si="0"/>
        <v>400000</v>
      </c>
      <c r="E10" s="122">
        <f>+'%'!C8</f>
        <v>0.1</v>
      </c>
      <c r="F10" s="123">
        <f t="shared" si="1"/>
        <v>200000</v>
      </c>
      <c r="G10" s="122">
        <f>+'%'!D8</f>
        <v>0.3</v>
      </c>
      <c r="H10" s="123">
        <f t="shared" si="2"/>
        <v>600000</v>
      </c>
      <c r="I10" s="122">
        <f>+'%'!E8</f>
        <v>0.1</v>
      </c>
      <c r="J10" s="123">
        <f t="shared" si="3"/>
        <v>200000</v>
      </c>
      <c r="K10" s="93">
        <f t="shared" si="4"/>
        <v>1000000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86">
        <v>0.02</v>
      </c>
      <c r="P10" s="87">
        <f t="shared" si="6"/>
        <v>40000</v>
      </c>
      <c r="Q10" s="86">
        <f>+'%'!H8</f>
        <v>0.05</v>
      </c>
      <c r="R10" s="87">
        <f t="shared" si="7"/>
        <v>100000</v>
      </c>
      <c r="S10" s="93">
        <f t="shared" si="13"/>
        <v>140000</v>
      </c>
      <c r="T10" s="88">
        <f>+'%'!I8</f>
        <v>0</v>
      </c>
      <c r="U10" s="89">
        <f t="shared" si="8"/>
        <v>0</v>
      </c>
      <c r="V10" s="88">
        <f>+'%'!J8</f>
        <v>0.1</v>
      </c>
      <c r="W10" s="89">
        <f t="shared" si="9"/>
        <v>200000</v>
      </c>
      <c r="X10" s="93">
        <f t="shared" si="14"/>
        <v>200000</v>
      </c>
      <c r="Y10" s="88">
        <v>0.13</v>
      </c>
      <c r="Z10" s="89">
        <f t="shared" si="10"/>
        <v>260000</v>
      </c>
      <c r="AA10" s="93">
        <f t="shared" si="15"/>
        <v>260000</v>
      </c>
      <c r="AB10" s="81">
        <f t="shared" si="16"/>
        <v>0</v>
      </c>
      <c r="AC10" s="82">
        <f t="shared" si="11"/>
        <v>1</v>
      </c>
    </row>
    <row r="11" spans="1:30" x14ac:dyDescent="0.25">
      <c r="A11" s="46" t="s">
        <v>185</v>
      </c>
      <c r="B11" s="90">
        <f>+' NOMINAS ENE-DIC'!B73</f>
        <v>1330000</v>
      </c>
      <c r="C11" s="91">
        <f>+'%'!B9</f>
        <v>0.2</v>
      </c>
      <c r="D11" s="93">
        <f t="shared" si="0"/>
        <v>266000</v>
      </c>
      <c r="E11" s="122">
        <f>+'%'!C9</f>
        <v>0.1</v>
      </c>
      <c r="F11" s="123">
        <f t="shared" si="1"/>
        <v>133000</v>
      </c>
      <c r="G11" s="122">
        <f>+'%'!D9</f>
        <v>0.2</v>
      </c>
      <c r="H11" s="123">
        <f t="shared" si="2"/>
        <v>266000</v>
      </c>
      <c r="I11" s="122">
        <f>+'%'!E9</f>
        <v>0.15</v>
      </c>
      <c r="J11" s="123">
        <f t="shared" si="3"/>
        <v>199500</v>
      </c>
      <c r="K11" s="93">
        <f t="shared" si="4"/>
        <v>598500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86">
        <v>0.02</v>
      </c>
      <c r="P11" s="87">
        <f t="shared" si="6"/>
        <v>26600</v>
      </c>
      <c r="Q11" s="86">
        <f>+'%'!H9</f>
        <v>0.1</v>
      </c>
      <c r="R11" s="87">
        <f t="shared" si="7"/>
        <v>133000</v>
      </c>
      <c r="S11" s="93">
        <f t="shared" si="13"/>
        <v>159600</v>
      </c>
      <c r="T11" s="88">
        <f>+'%'!I9</f>
        <v>0</v>
      </c>
      <c r="U11" s="89">
        <f t="shared" si="8"/>
        <v>0</v>
      </c>
      <c r="V11" s="88">
        <f>+'%'!J9</f>
        <v>0.2</v>
      </c>
      <c r="W11" s="89">
        <f t="shared" si="9"/>
        <v>266000</v>
      </c>
      <c r="X11" s="93">
        <f t="shared" si="14"/>
        <v>266000</v>
      </c>
      <c r="Y11" s="88">
        <v>0.03</v>
      </c>
      <c r="Z11" s="89">
        <f t="shared" si="10"/>
        <v>39900</v>
      </c>
      <c r="AA11" s="93">
        <f t="shared" si="15"/>
        <v>39900</v>
      </c>
      <c r="AB11" s="81">
        <f t="shared" si="16"/>
        <v>0</v>
      </c>
      <c r="AC11" s="82">
        <f t="shared" si="11"/>
        <v>1</v>
      </c>
    </row>
    <row r="12" spans="1:30" x14ac:dyDescent="0.25">
      <c r="A12" s="46" t="s">
        <v>181</v>
      </c>
      <c r="B12" s="92">
        <f>SUM(B5:B11)</f>
        <v>20773479.600000001</v>
      </c>
      <c r="C12" s="44"/>
      <c r="D12" s="93">
        <f>SUM(D5:D11)</f>
        <v>5273131.2</v>
      </c>
      <c r="E12" s="124"/>
      <c r="F12" s="125">
        <f>SUM(F5:F11)</f>
        <v>2866146.38</v>
      </c>
      <c r="G12" s="124"/>
      <c r="H12" s="125">
        <f>SUM(H5:H11)</f>
        <v>5543793.2599999998</v>
      </c>
      <c r="I12" s="124"/>
      <c r="J12" s="125">
        <f>SUM(J5:J11)</f>
        <v>1469029.84</v>
      </c>
      <c r="K12" s="93">
        <f>SUM(K5:K11)</f>
        <v>9878969.4800000004</v>
      </c>
      <c r="L12" s="44"/>
      <c r="M12" s="95">
        <f>SUM(M5:M11)</f>
        <v>45555.6</v>
      </c>
      <c r="N12" s="93">
        <f t="shared" si="12"/>
        <v>45555.6</v>
      </c>
      <c r="O12" s="44"/>
      <c r="P12" s="95">
        <f>SUM(P5:P11)</f>
        <v>242511.2</v>
      </c>
      <c r="Q12" s="44"/>
      <c r="R12" s="95">
        <f>SUM(R5:R11)</f>
        <v>834160.46</v>
      </c>
      <c r="S12" s="93">
        <f t="shared" si="13"/>
        <v>1076671.6599999999</v>
      </c>
      <c r="T12" s="44"/>
      <c r="U12" s="94">
        <f>SUM(U5:U11)</f>
        <v>911112</v>
      </c>
      <c r="V12" s="44"/>
      <c r="W12" s="94">
        <f>SUM(W5:W11)</f>
        <v>2281383.66</v>
      </c>
      <c r="X12" s="93">
        <f t="shared" si="14"/>
        <v>3192495.66</v>
      </c>
      <c r="Y12" s="79"/>
      <c r="Z12" s="94">
        <f>SUM(Z5:Z11)</f>
        <v>1306656</v>
      </c>
      <c r="AA12" s="93">
        <f t="shared" si="15"/>
        <v>1306656</v>
      </c>
      <c r="AB12" s="81">
        <f t="shared" si="16"/>
        <v>0</v>
      </c>
      <c r="AC12" s="82">
        <f t="shared" si="11"/>
        <v>0</v>
      </c>
    </row>
    <row r="15" spans="1:30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300</v>
      </c>
      <c r="O15" s="75" t="s">
        <v>162</v>
      </c>
      <c r="P15" s="75" t="s">
        <v>176</v>
      </c>
      <c r="Q15" s="76" t="s">
        <v>163</v>
      </c>
      <c r="R15" s="76" t="s">
        <v>176</v>
      </c>
      <c r="S15" s="71" t="s">
        <v>171</v>
      </c>
      <c r="T15" s="77" t="s">
        <v>164</v>
      </c>
      <c r="U15" s="77" t="s">
        <v>176</v>
      </c>
      <c r="V15" s="78" t="s">
        <v>165</v>
      </c>
      <c r="W15" s="78" t="s">
        <v>176</v>
      </c>
      <c r="X15" s="71" t="s">
        <v>301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0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86">
        <v>0.03</v>
      </c>
      <c r="P16" s="87">
        <f>+O16*B16</f>
        <v>39340.799999999996</v>
      </c>
      <c r="Q16" s="86">
        <v>0.05</v>
      </c>
      <c r="R16" s="87">
        <f>+Q16*B16</f>
        <v>65568</v>
      </c>
      <c r="S16" s="93">
        <f>+P16+R16</f>
        <v>104908.79999999999</v>
      </c>
      <c r="T16" s="88">
        <v>0.15</v>
      </c>
      <c r="U16" s="89">
        <f>+T16*B16</f>
        <v>196704</v>
      </c>
      <c r="V16" s="88">
        <v>0.45</v>
      </c>
      <c r="W16" s="89">
        <f>+V16*B16</f>
        <v>590112</v>
      </c>
      <c r="X16" s="93">
        <f>+U16+W16</f>
        <v>786816</v>
      </c>
      <c r="Y16" s="88">
        <v>0</v>
      </c>
      <c r="Z16" s="89">
        <f t="shared" ref="Z16:Z46" si="17">+Y16*B16</f>
        <v>0</v>
      </c>
      <c r="AA16" s="93">
        <f>+Z16</f>
        <v>0</v>
      </c>
      <c r="AB16" s="81">
        <f>+(D16+K16+N16+S16+X16+AA16)-B16</f>
        <v>0</v>
      </c>
      <c r="AC16" s="82">
        <f t="shared" ref="AC16:AC47" si="18">+C16+E16+G16+I16+L16+O16+Q16+T16+V16+Y16</f>
        <v>1</v>
      </c>
      <c r="AD16" s="159">
        <f t="shared" ref="AD16:AD46" si="19">+AA16+S16+K16</f>
        <v>380294.39999999997</v>
      </c>
    </row>
    <row r="17" spans="1:30" x14ac:dyDescent="0.25">
      <c r="A17" s="46" t="s">
        <v>81</v>
      </c>
      <c r="B17" s="90">
        <v>13744</v>
      </c>
      <c r="C17" s="91">
        <v>0</v>
      </c>
      <c r="D17" s="85">
        <f t="shared" ref="D17:D46" si="20">+B17*C17</f>
        <v>0</v>
      </c>
      <c r="E17" s="122">
        <v>0.6</v>
      </c>
      <c r="F17" s="123">
        <f t="shared" ref="F17:F46" si="21">+B17*E17</f>
        <v>8246.4</v>
      </c>
      <c r="G17" s="122">
        <v>0.4</v>
      </c>
      <c r="H17" s="123">
        <f t="shared" ref="H17:H46" si="22">+B17*G17</f>
        <v>5497.6</v>
      </c>
      <c r="I17" s="122">
        <v>0</v>
      </c>
      <c r="J17" s="123">
        <f t="shared" ref="J17:J46" si="23">+B17*I17</f>
        <v>0</v>
      </c>
      <c r="K17" s="93">
        <f t="shared" ref="K17:K46" si="24">+F17+H17+J17</f>
        <v>13744</v>
      </c>
      <c r="L17" s="86">
        <v>0</v>
      </c>
      <c r="M17" s="87">
        <f t="shared" ref="M17:M46" si="25">+L17*B17</f>
        <v>0</v>
      </c>
      <c r="N17" s="93">
        <f t="shared" ref="N17:N47" si="26">+M17</f>
        <v>0</v>
      </c>
      <c r="O17" s="86">
        <v>0</v>
      </c>
      <c r="P17" s="87">
        <f t="shared" ref="P17:P46" si="27">+O17*B17</f>
        <v>0</v>
      </c>
      <c r="Q17" s="86">
        <v>0</v>
      </c>
      <c r="R17" s="87">
        <f t="shared" ref="R17:R46" si="28">+Q17*B17</f>
        <v>0</v>
      </c>
      <c r="S17" s="93">
        <f t="shared" ref="S17:S47" si="29">+P17+R17</f>
        <v>0</v>
      </c>
      <c r="T17" s="88">
        <v>0</v>
      </c>
      <c r="U17" s="89">
        <f t="shared" ref="U17:U46" si="30">+T17*B17</f>
        <v>0</v>
      </c>
      <c r="V17" s="88">
        <v>0</v>
      </c>
      <c r="W17" s="89">
        <f>+V17*B17</f>
        <v>0</v>
      </c>
      <c r="X17" s="93">
        <f t="shared" ref="X17:X47" si="31">+U17+W17</f>
        <v>0</v>
      </c>
      <c r="Y17" s="88">
        <v>0</v>
      </c>
      <c r="Z17" s="89">
        <f t="shared" si="17"/>
        <v>0</v>
      </c>
      <c r="AA17" s="93">
        <f t="shared" ref="AA17:AA47" si="32">+Z17</f>
        <v>0</v>
      </c>
      <c r="AB17" s="81">
        <f t="shared" ref="AB17:AB47" si="33">+(D17+K17+N17+S17+X17+AA17)-B17</f>
        <v>0</v>
      </c>
      <c r="AC17" s="82">
        <f t="shared" si="18"/>
        <v>1</v>
      </c>
      <c r="AD17" s="159">
        <f t="shared" si="19"/>
        <v>13744</v>
      </c>
    </row>
    <row r="18" spans="1:30" x14ac:dyDescent="0.25">
      <c r="A18" s="46" t="s">
        <v>268</v>
      </c>
      <c r="B18" s="90">
        <v>1000000</v>
      </c>
      <c r="C18" s="91">
        <v>0</v>
      </c>
      <c r="D18" s="85">
        <f t="shared" si="20"/>
        <v>0</v>
      </c>
      <c r="E18" s="122">
        <v>0.6</v>
      </c>
      <c r="F18" s="123">
        <f t="shared" si="21"/>
        <v>600000</v>
      </c>
      <c r="G18" s="122">
        <v>0.4</v>
      </c>
      <c r="H18" s="123">
        <f t="shared" si="22"/>
        <v>400000</v>
      </c>
      <c r="I18" s="122">
        <v>0</v>
      </c>
      <c r="J18" s="123">
        <f t="shared" si="23"/>
        <v>0</v>
      </c>
      <c r="K18" s="93">
        <f t="shared" si="24"/>
        <v>1000000</v>
      </c>
      <c r="L18" s="86">
        <v>0</v>
      </c>
      <c r="M18" s="87">
        <f t="shared" si="25"/>
        <v>0</v>
      </c>
      <c r="N18" s="93">
        <f t="shared" si="26"/>
        <v>0</v>
      </c>
      <c r="O18" s="86">
        <v>0</v>
      </c>
      <c r="P18" s="87">
        <f t="shared" si="27"/>
        <v>0</v>
      </c>
      <c r="Q18" s="86">
        <v>0</v>
      </c>
      <c r="R18" s="87">
        <f t="shared" si="28"/>
        <v>0</v>
      </c>
      <c r="S18" s="93">
        <f t="shared" si="29"/>
        <v>0</v>
      </c>
      <c r="T18" s="88">
        <v>0</v>
      </c>
      <c r="U18" s="89">
        <f t="shared" si="30"/>
        <v>0</v>
      </c>
      <c r="V18" s="88">
        <v>0</v>
      </c>
      <c r="W18" s="89">
        <f>+V18*B18</f>
        <v>0</v>
      </c>
      <c r="X18" s="93">
        <f t="shared" si="31"/>
        <v>0</v>
      </c>
      <c r="Y18" s="88">
        <v>0</v>
      </c>
      <c r="Z18" s="89">
        <f t="shared" si="17"/>
        <v>0</v>
      </c>
      <c r="AA18" s="93">
        <f t="shared" si="32"/>
        <v>0</v>
      </c>
      <c r="AB18" s="81">
        <f t="shared" si="33"/>
        <v>0</v>
      </c>
      <c r="AC18" s="82">
        <f t="shared" si="18"/>
        <v>1</v>
      </c>
      <c r="AD18" s="159">
        <f t="shared" si="19"/>
        <v>1000000</v>
      </c>
    </row>
    <row r="19" spans="1:30" x14ac:dyDescent="0.25">
      <c r="A19" s="46" t="s">
        <v>186</v>
      </c>
      <c r="B19" s="90"/>
      <c r="C19" s="91">
        <v>0.1</v>
      </c>
      <c r="D19" s="85">
        <f t="shared" si="20"/>
        <v>0</v>
      </c>
      <c r="E19" s="122">
        <v>0</v>
      </c>
      <c r="F19" s="123">
        <f t="shared" si="21"/>
        <v>0</v>
      </c>
      <c r="G19" s="122">
        <v>0</v>
      </c>
      <c r="H19" s="123">
        <f t="shared" si="22"/>
        <v>0</v>
      </c>
      <c r="I19" s="122">
        <v>0</v>
      </c>
      <c r="J19" s="123">
        <f t="shared" si="23"/>
        <v>0</v>
      </c>
      <c r="K19" s="93">
        <f t="shared" si="24"/>
        <v>0</v>
      </c>
      <c r="L19" s="86">
        <v>0.01</v>
      </c>
      <c r="M19" s="87">
        <f t="shared" si="25"/>
        <v>0</v>
      </c>
      <c r="N19" s="93">
        <f t="shared" si="26"/>
        <v>0</v>
      </c>
      <c r="O19" s="86">
        <v>0.1</v>
      </c>
      <c r="P19" s="87">
        <f t="shared" si="27"/>
        <v>0</v>
      </c>
      <c r="Q19" s="86">
        <v>0.15</v>
      </c>
      <c r="R19" s="87">
        <f t="shared" si="28"/>
        <v>0</v>
      </c>
      <c r="S19" s="93">
        <f t="shared" si="29"/>
        <v>0</v>
      </c>
      <c r="T19" s="88">
        <v>0.2</v>
      </c>
      <c r="U19" s="89">
        <f t="shared" si="30"/>
        <v>0</v>
      </c>
      <c r="V19" s="88">
        <v>0.34</v>
      </c>
      <c r="W19" s="89">
        <f t="shared" ref="W19:W46" si="34">+V19*B19</f>
        <v>0</v>
      </c>
      <c r="X19" s="93">
        <f t="shared" si="31"/>
        <v>0</v>
      </c>
      <c r="Y19" s="88">
        <v>0.1</v>
      </c>
      <c r="Z19" s="89">
        <f t="shared" si="17"/>
        <v>0</v>
      </c>
      <c r="AA19" s="93">
        <f t="shared" si="32"/>
        <v>0</v>
      </c>
      <c r="AB19" s="81">
        <f t="shared" si="33"/>
        <v>0</v>
      </c>
      <c r="AC19" s="82">
        <f t="shared" si="18"/>
        <v>1.0000000000000002</v>
      </c>
      <c r="AD19" s="159">
        <f t="shared" si="19"/>
        <v>0</v>
      </c>
    </row>
    <row r="20" spans="1:30" x14ac:dyDescent="0.25">
      <c r="A20" s="46" t="s">
        <v>28</v>
      </c>
      <c r="B20" s="90">
        <v>26018</v>
      </c>
      <c r="C20" s="91">
        <v>0.1</v>
      </c>
      <c r="D20" s="85">
        <f t="shared" si="20"/>
        <v>2601.8000000000002</v>
      </c>
      <c r="E20" s="122">
        <v>0</v>
      </c>
      <c r="F20" s="123">
        <f t="shared" si="21"/>
        <v>0</v>
      </c>
      <c r="G20" s="122">
        <v>0</v>
      </c>
      <c r="H20" s="123">
        <f t="shared" si="22"/>
        <v>0</v>
      </c>
      <c r="I20" s="122">
        <v>0</v>
      </c>
      <c r="J20" s="123">
        <f t="shared" si="23"/>
        <v>0</v>
      </c>
      <c r="K20" s="93">
        <f t="shared" si="24"/>
        <v>0</v>
      </c>
      <c r="L20" s="86">
        <v>0</v>
      </c>
      <c r="M20" s="87">
        <f t="shared" si="25"/>
        <v>0</v>
      </c>
      <c r="N20" s="93">
        <f t="shared" si="26"/>
        <v>0</v>
      </c>
      <c r="O20" s="86">
        <v>0</v>
      </c>
      <c r="P20" s="87">
        <f t="shared" si="27"/>
        <v>0</v>
      </c>
      <c r="Q20" s="86">
        <v>0</v>
      </c>
      <c r="R20" s="87">
        <f t="shared" si="28"/>
        <v>0</v>
      </c>
      <c r="S20" s="93">
        <f t="shared" si="29"/>
        <v>0</v>
      </c>
      <c r="T20" s="88">
        <v>0.1</v>
      </c>
      <c r="U20" s="89">
        <f t="shared" si="30"/>
        <v>2601.8000000000002</v>
      </c>
      <c r="V20" s="88">
        <v>0.7</v>
      </c>
      <c r="W20" s="89">
        <f t="shared" si="34"/>
        <v>18212.599999999999</v>
      </c>
      <c r="X20" s="93">
        <f t="shared" si="31"/>
        <v>20814.399999999998</v>
      </c>
      <c r="Y20" s="88">
        <v>0.1</v>
      </c>
      <c r="Z20" s="89">
        <f t="shared" si="17"/>
        <v>2601.8000000000002</v>
      </c>
      <c r="AA20" s="93">
        <f t="shared" si="32"/>
        <v>2601.8000000000002</v>
      </c>
      <c r="AB20" s="81">
        <f t="shared" si="33"/>
        <v>0</v>
      </c>
      <c r="AC20" s="82">
        <f t="shared" si="18"/>
        <v>0.99999999999999989</v>
      </c>
      <c r="AD20" s="159">
        <f t="shared" si="19"/>
        <v>2601.8000000000002</v>
      </c>
    </row>
    <row r="21" spans="1:30" x14ac:dyDescent="0.25">
      <c r="A21" s="46" t="s">
        <v>121</v>
      </c>
      <c r="B21" s="90"/>
      <c r="C21" s="91">
        <v>0.1</v>
      </c>
      <c r="D21" s="85">
        <f t="shared" si="20"/>
        <v>0</v>
      </c>
      <c r="E21" s="122">
        <v>0.05</v>
      </c>
      <c r="F21" s="123">
        <f t="shared" si="21"/>
        <v>0</v>
      </c>
      <c r="G21" s="122">
        <v>0.05</v>
      </c>
      <c r="H21" s="123">
        <f t="shared" si="22"/>
        <v>0</v>
      </c>
      <c r="I21" s="122">
        <v>0.01</v>
      </c>
      <c r="J21" s="123">
        <f t="shared" si="23"/>
        <v>0</v>
      </c>
      <c r="K21" s="93">
        <f t="shared" si="24"/>
        <v>0</v>
      </c>
      <c r="L21" s="86">
        <v>0</v>
      </c>
      <c r="M21" s="87">
        <f t="shared" si="25"/>
        <v>0</v>
      </c>
      <c r="N21" s="93">
        <f t="shared" si="26"/>
        <v>0</v>
      </c>
      <c r="O21" s="86">
        <v>0.05</v>
      </c>
      <c r="P21" s="87">
        <f t="shared" si="27"/>
        <v>0</v>
      </c>
      <c r="Q21" s="86">
        <v>0.05</v>
      </c>
      <c r="R21" s="87">
        <f t="shared" si="28"/>
        <v>0</v>
      </c>
      <c r="S21" s="93">
        <f t="shared" si="29"/>
        <v>0</v>
      </c>
      <c r="T21" s="88">
        <v>0</v>
      </c>
      <c r="U21" s="89">
        <f t="shared" si="30"/>
        <v>0</v>
      </c>
      <c r="V21" s="88">
        <v>0.45</v>
      </c>
      <c r="W21" s="89">
        <f t="shared" si="34"/>
        <v>0</v>
      </c>
      <c r="X21" s="93">
        <f t="shared" si="31"/>
        <v>0</v>
      </c>
      <c r="Y21" s="88">
        <v>0.24</v>
      </c>
      <c r="Z21" s="89">
        <f t="shared" si="17"/>
        <v>0</v>
      </c>
      <c r="AA21" s="93">
        <f t="shared" si="32"/>
        <v>0</v>
      </c>
      <c r="AB21" s="81">
        <f t="shared" si="33"/>
        <v>0</v>
      </c>
      <c r="AC21" s="82">
        <f t="shared" si="18"/>
        <v>1</v>
      </c>
      <c r="AD21" s="159">
        <f t="shared" si="19"/>
        <v>0</v>
      </c>
    </row>
    <row r="22" spans="1:30" x14ac:dyDescent="0.25">
      <c r="A22" s="46" t="s">
        <v>111</v>
      </c>
      <c r="B22" s="90">
        <f>97920+419847</f>
        <v>517767</v>
      </c>
      <c r="C22" s="91">
        <v>0</v>
      </c>
      <c r="D22" s="85">
        <f t="shared" si="20"/>
        <v>0</v>
      </c>
      <c r="E22" s="122">
        <v>0</v>
      </c>
      <c r="F22" s="123">
        <f t="shared" si="21"/>
        <v>0</v>
      </c>
      <c r="G22" s="122">
        <v>0</v>
      </c>
      <c r="H22" s="123">
        <f t="shared" si="22"/>
        <v>0</v>
      </c>
      <c r="I22" s="122">
        <v>0</v>
      </c>
      <c r="J22" s="123">
        <f t="shared" si="23"/>
        <v>0</v>
      </c>
      <c r="K22" s="93">
        <f t="shared" si="24"/>
        <v>0</v>
      </c>
      <c r="L22" s="86">
        <v>0</v>
      </c>
      <c r="M22" s="87">
        <f t="shared" si="25"/>
        <v>0</v>
      </c>
      <c r="N22" s="93">
        <f t="shared" si="26"/>
        <v>0</v>
      </c>
      <c r="O22" s="86">
        <v>0</v>
      </c>
      <c r="P22" s="87">
        <f t="shared" si="27"/>
        <v>0</v>
      </c>
      <c r="Q22" s="86">
        <v>0</v>
      </c>
      <c r="R22" s="87">
        <f t="shared" si="28"/>
        <v>0</v>
      </c>
      <c r="S22" s="93">
        <f t="shared" si="29"/>
        <v>0</v>
      </c>
      <c r="T22" s="88">
        <v>0</v>
      </c>
      <c r="U22" s="89">
        <f t="shared" si="30"/>
        <v>0</v>
      </c>
      <c r="V22" s="88">
        <v>0</v>
      </c>
      <c r="W22" s="89">
        <f t="shared" si="34"/>
        <v>0</v>
      </c>
      <c r="X22" s="93">
        <f t="shared" si="31"/>
        <v>0</v>
      </c>
      <c r="Y22" s="88">
        <v>1</v>
      </c>
      <c r="Z22" s="89">
        <f t="shared" si="17"/>
        <v>517767</v>
      </c>
      <c r="AA22" s="93">
        <f t="shared" si="32"/>
        <v>517767</v>
      </c>
      <c r="AB22" s="81">
        <f t="shared" si="33"/>
        <v>0</v>
      </c>
      <c r="AC22" s="82">
        <f t="shared" si="18"/>
        <v>1</v>
      </c>
      <c r="AD22" s="159">
        <f t="shared" si="19"/>
        <v>517767</v>
      </c>
    </row>
    <row r="23" spans="1:30" x14ac:dyDescent="0.25">
      <c r="A23" s="46" t="s">
        <v>220</v>
      </c>
      <c r="B23" s="90">
        <v>185338</v>
      </c>
      <c r="C23" s="91">
        <v>0.1</v>
      </c>
      <c r="D23" s="85">
        <f t="shared" si="20"/>
        <v>18533.8</v>
      </c>
      <c r="E23" s="122">
        <v>0.05</v>
      </c>
      <c r="F23" s="123">
        <f t="shared" si="21"/>
        <v>9266.9</v>
      </c>
      <c r="G23" s="122">
        <v>0.15</v>
      </c>
      <c r="H23" s="123">
        <f t="shared" si="22"/>
        <v>27800.7</v>
      </c>
      <c r="I23" s="122">
        <v>0</v>
      </c>
      <c r="J23" s="123">
        <f t="shared" si="23"/>
        <v>0</v>
      </c>
      <c r="K23" s="93">
        <f t="shared" si="24"/>
        <v>37067.599999999999</v>
      </c>
      <c r="L23" s="86">
        <v>0</v>
      </c>
      <c r="M23" s="87">
        <f t="shared" si="25"/>
        <v>0</v>
      </c>
      <c r="N23" s="93">
        <f t="shared" si="26"/>
        <v>0</v>
      </c>
      <c r="O23" s="86">
        <v>0</v>
      </c>
      <c r="P23" s="87">
        <f t="shared" si="27"/>
        <v>0</v>
      </c>
      <c r="Q23" s="86">
        <v>0.05</v>
      </c>
      <c r="R23" s="87">
        <f t="shared" si="28"/>
        <v>9266.9</v>
      </c>
      <c r="S23" s="93">
        <f t="shared" si="29"/>
        <v>9266.9</v>
      </c>
      <c r="T23" s="88">
        <v>0.15</v>
      </c>
      <c r="U23" s="89">
        <f t="shared" si="30"/>
        <v>27800.7</v>
      </c>
      <c r="V23" s="88">
        <v>0.45</v>
      </c>
      <c r="W23" s="89">
        <f t="shared" si="34"/>
        <v>83402.100000000006</v>
      </c>
      <c r="X23" s="93">
        <f t="shared" si="31"/>
        <v>111202.8</v>
      </c>
      <c r="Y23" s="88">
        <v>0.05</v>
      </c>
      <c r="Z23" s="89">
        <f t="shared" si="17"/>
        <v>9266.9</v>
      </c>
      <c r="AA23" s="93">
        <f t="shared" si="32"/>
        <v>9266.9</v>
      </c>
      <c r="AB23" s="81">
        <f t="shared" si="33"/>
        <v>0</v>
      </c>
      <c r="AC23" s="82">
        <f t="shared" si="18"/>
        <v>1</v>
      </c>
      <c r="AD23" s="159">
        <f t="shared" si="19"/>
        <v>55601.399999999994</v>
      </c>
    </row>
    <row r="24" spans="1:30" x14ac:dyDescent="0.25">
      <c r="A24" s="46" t="s">
        <v>68</v>
      </c>
      <c r="B24" s="90">
        <v>238467</v>
      </c>
      <c r="C24" s="91">
        <v>0.1</v>
      </c>
      <c r="D24" s="85">
        <f t="shared" si="20"/>
        <v>23846.7</v>
      </c>
      <c r="E24" s="122">
        <v>0.05</v>
      </c>
      <c r="F24" s="123">
        <f t="shared" si="21"/>
        <v>11923.35</v>
      </c>
      <c r="G24" s="122">
        <v>0.15</v>
      </c>
      <c r="H24" s="123">
        <f t="shared" si="22"/>
        <v>35770.049999999996</v>
      </c>
      <c r="I24" s="122">
        <v>0</v>
      </c>
      <c r="J24" s="123">
        <f t="shared" si="23"/>
        <v>0</v>
      </c>
      <c r="K24" s="93">
        <f t="shared" si="24"/>
        <v>47693.399999999994</v>
      </c>
      <c r="L24" s="86">
        <v>0</v>
      </c>
      <c r="M24" s="87">
        <f t="shared" si="25"/>
        <v>0</v>
      </c>
      <c r="N24" s="93">
        <f t="shared" si="26"/>
        <v>0</v>
      </c>
      <c r="O24" s="86">
        <v>0</v>
      </c>
      <c r="P24" s="87">
        <f t="shared" si="27"/>
        <v>0</v>
      </c>
      <c r="Q24" s="86">
        <v>0.05</v>
      </c>
      <c r="R24" s="87">
        <f t="shared" si="28"/>
        <v>11923.35</v>
      </c>
      <c r="S24" s="93">
        <f t="shared" si="29"/>
        <v>11923.35</v>
      </c>
      <c r="T24" s="88">
        <v>0.15</v>
      </c>
      <c r="U24" s="89">
        <f t="shared" si="30"/>
        <v>35770.049999999996</v>
      </c>
      <c r="V24" s="88">
        <v>0.45</v>
      </c>
      <c r="W24" s="89">
        <f t="shared" si="34"/>
        <v>107310.15000000001</v>
      </c>
      <c r="X24" s="93">
        <f t="shared" si="31"/>
        <v>143080.20000000001</v>
      </c>
      <c r="Y24" s="88">
        <v>0.05</v>
      </c>
      <c r="Z24" s="89">
        <f t="shared" si="17"/>
        <v>11923.35</v>
      </c>
      <c r="AA24" s="93">
        <f t="shared" si="32"/>
        <v>11923.35</v>
      </c>
      <c r="AB24" s="81">
        <f t="shared" si="33"/>
        <v>0</v>
      </c>
      <c r="AC24" s="82">
        <f t="shared" si="18"/>
        <v>1</v>
      </c>
      <c r="AD24" s="159">
        <f t="shared" si="19"/>
        <v>71540.099999999991</v>
      </c>
    </row>
    <row r="25" spans="1:30" x14ac:dyDescent="0.25">
      <c r="A25" s="46" t="s">
        <v>187</v>
      </c>
      <c r="B25" s="90"/>
      <c r="C25" s="91">
        <v>0.1</v>
      </c>
      <c r="D25" s="85">
        <f t="shared" si="20"/>
        <v>0</v>
      </c>
      <c r="E25" s="122">
        <v>0</v>
      </c>
      <c r="F25" s="123">
        <f t="shared" si="21"/>
        <v>0</v>
      </c>
      <c r="G25" s="122">
        <v>0</v>
      </c>
      <c r="H25" s="123">
        <f t="shared" si="22"/>
        <v>0</v>
      </c>
      <c r="I25" s="122">
        <v>0.1</v>
      </c>
      <c r="J25" s="123">
        <f t="shared" si="23"/>
        <v>0</v>
      </c>
      <c r="K25" s="93">
        <f t="shared" si="24"/>
        <v>0</v>
      </c>
      <c r="L25" s="86">
        <v>0</v>
      </c>
      <c r="M25" s="87">
        <f t="shared" si="25"/>
        <v>0</v>
      </c>
      <c r="N25" s="93">
        <f t="shared" si="26"/>
        <v>0</v>
      </c>
      <c r="O25" s="86">
        <v>0.05</v>
      </c>
      <c r="P25" s="87">
        <f t="shared" si="27"/>
        <v>0</v>
      </c>
      <c r="Q25" s="86">
        <v>0.1</v>
      </c>
      <c r="R25" s="87">
        <f t="shared" si="28"/>
        <v>0</v>
      </c>
      <c r="S25" s="93">
        <f t="shared" si="29"/>
        <v>0</v>
      </c>
      <c r="T25" s="88">
        <v>0.05</v>
      </c>
      <c r="U25" s="89">
        <f t="shared" si="30"/>
        <v>0</v>
      </c>
      <c r="V25" s="88">
        <v>0.6</v>
      </c>
      <c r="W25" s="89">
        <f t="shared" si="34"/>
        <v>0</v>
      </c>
      <c r="X25" s="93">
        <f t="shared" si="31"/>
        <v>0</v>
      </c>
      <c r="Y25" s="88">
        <v>0</v>
      </c>
      <c r="Z25" s="89">
        <f t="shared" si="17"/>
        <v>0</v>
      </c>
      <c r="AA25" s="93">
        <f t="shared" si="32"/>
        <v>0</v>
      </c>
      <c r="AB25" s="81">
        <f t="shared" si="33"/>
        <v>0</v>
      </c>
      <c r="AC25" s="82">
        <f t="shared" si="18"/>
        <v>1</v>
      </c>
      <c r="AD25" s="159">
        <f t="shared" si="19"/>
        <v>0</v>
      </c>
    </row>
    <row r="26" spans="1:30" x14ac:dyDescent="0.25">
      <c r="A26" s="46" t="s">
        <v>188</v>
      </c>
      <c r="B26" s="90">
        <v>180722</v>
      </c>
      <c r="C26" s="91">
        <v>0.1</v>
      </c>
      <c r="D26" s="85">
        <f t="shared" si="20"/>
        <v>18072.2</v>
      </c>
      <c r="E26" s="122">
        <v>0</v>
      </c>
      <c r="F26" s="123">
        <f t="shared" si="21"/>
        <v>0</v>
      </c>
      <c r="G26" s="122">
        <v>0.1</v>
      </c>
      <c r="H26" s="123">
        <f t="shared" si="22"/>
        <v>18072.2</v>
      </c>
      <c r="I26" s="122">
        <v>0.02</v>
      </c>
      <c r="J26" s="123">
        <f t="shared" si="23"/>
        <v>3614.44</v>
      </c>
      <c r="K26" s="93">
        <f t="shared" si="24"/>
        <v>21686.639999999999</v>
      </c>
      <c r="L26" s="86">
        <v>0</v>
      </c>
      <c r="M26" s="87">
        <f t="shared" si="25"/>
        <v>0</v>
      </c>
      <c r="N26" s="93">
        <f t="shared" si="26"/>
        <v>0</v>
      </c>
      <c r="O26" s="86">
        <v>0.1</v>
      </c>
      <c r="P26" s="87">
        <f t="shared" si="27"/>
        <v>18072.2</v>
      </c>
      <c r="Q26" s="86">
        <v>0.05</v>
      </c>
      <c r="R26" s="87">
        <f t="shared" si="28"/>
        <v>9036.1</v>
      </c>
      <c r="S26" s="93">
        <f t="shared" si="29"/>
        <v>27108.300000000003</v>
      </c>
      <c r="T26" s="88">
        <v>0.02</v>
      </c>
      <c r="U26" s="89">
        <f t="shared" si="30"/>
        <v>3614.44</v>
      </c>
      <c r="V26" s="88">
        <v>0.61</v>
      </c>
      <c r="W26" s="89">
        <f t="shared" si="34"/>
        <v>110240.42</v>
      </c>
      <c r="X26" s="93">
        <f t="shared" si="31"/>
        <v>113854.86</v>
      </c>
      <c r="Y26" s="88">
        <v>0</v>
      </c>
      <c r="Z26" s="89">
        <f t="shared" si="17"/>
        <v>0</v>
      </c>
      <c r="AA26" s="93">
        <f t="shared" si="32"/>
        <v>0</v>
      </c>
      <c r="AB26" s="81">
        <f t="shared" si="33"/>
        <v>0</v>
      </c>
      <c r="AC26" s="82">
        <f t="shared" si="18"/>
        <v>1</v>
      </c>
      <c r="AD26" s="159">
        <f t="shared" si="19"/>
        <v>48794.94</v>
      </c>
    </row>
    <row r="27" spans="1:30" x14ac:dyDescent="0.25">
      <c r="A27" s="46" t="s">
        <v>263</v>
      </c>
      <c r="B27" s="90"/>
      <c r="C27" s="91">
        <v>0.1</v>
      </c>
      <c r="D27" s="85">
        <f t="shared" si="20"/>
        <v>0</v>
      </c>
      <c r="E27" s="122">
        <v>0</v>
      </c>
      <c r="F27" s="123">
        <f t="shared" si="21"/>
        <v>0</v>
      </c>
      <c r="G27" s="122">
        <v>0.1</v>
      </c>
      <c r="H27" s="123">
        <f t="shared" si="22"/>
        <v>0</v>
      </c>
      <c r="I27" s="122">
        <v>0.02</v>
      </c>
      <c r="J27" s="123">
        <f t="shared" si="23"/>
        <v>0</v>
      </c>
      <c r="K27" s="93">
        <f t="shared" si="24"/>
        <v>0</v>
      </c>
      <c r="L27" s="86">
        <v>0</v>
      </c>
      <c r="M27" s="87">
        <f t="shared" si="25"/>
        <v>0</v>
      </c>
      <c r="N27" s="93">
        <f t="shared" si="26"/>
        <v>0</v>
      </c>
      <c r="O27" s="86">
        <v>0.1</v>
      </c>
      <c r="P27" s="87">
        <f t="shared" si="27"/>
        <v>0</v>
      </c>
      <c r="Q27" s="86">
        <v>0.05</v>
      </c>
      <c r="R27" s="87">
        <f t="shared" si="28"/>
        <v>0</v>
      </c>
      <c r="S27" s="93">
        <f t="shared" si="29"/>
        <v>0</v>
      </c>
      <c r="T27" s="88">
        <v>0.02</v>
      </c>
      <c r="U27" s="89">
        <f t="shared" si="30"/>
        <v>0</v>
      </c>
      <c r="V27" s="88">
        <v>0.61</v>
      </c>
      <c r="W27" s="89">
        <f t="shared" si="34"/>
        <v>0</v>
      </c>
      <c r="X27" s="93">
        <f t="shared" si="31"/>
        <v>0</v>
      </c>
      <c r="Y27" s="88">
        <v>0</v>
      </c>
      <c r="Z27" s="89">
        <f t="shared" si="17"/>
        <v>0</v>
      </c>
      <c r="AA27" s="93">
        <f t="shared" si="32"/>
        <v>0</v>
      </c>
      <c r="AB27" s="81">
        <f t="shared" si="33"/>
        <v>0</v>
      </c>
      <c r="AC27" s="82">
        <f t="shared" si="18"/>
        <v>1</v>
      </c>
      <c r="AD27" s="159">
        <f t="shared" si="19"/>
        <v>0</v>
      </c>
    </row>
    <row r="28" spans="1:30" x14ac:dyDescent="0.25">
      <c r="A28" s="46" t="s">
        <v>108</v>
      </c>
      <c r="B28" s="90"/>
      <c r="C28" s="91">
        <v>0.1</v>
      </c>
      <c r="D28" s="85">
        <f t="shared" si="20"/>
        <v>0</v>
      </c>
      <c r="E28" s="122">
        <v>0.05</v>
      </c>
      <c r="F28" s="123">
        <f t="shared" si="21"/>
        <v>0</v>
      </c>
      <c r="G28" s="122">
        <v>0.05</v>
      </c>
      <c r="H28" s="123">
        <f t="shared" si="22"/>
        <v>0</v>
      </c>
      <c r="I28" s="122">
        <v>0.01</v>
      </c>
      <c r="J28" s="123">
        <f t="shared" si="23"/>
        <v>0</v>
      </c>
      <c r="K28" s="93">
        <f t="shared" si="24"/>
        <v>0</v>
      </c>
      <c r="L28" s="86">
        <v>0</v>
      </c>
      <c r="M28" s="87">
        <f t="shared" si="25"/>
        <v>0</v>
      </c>
      <c r="N28" s="93">
        <f t="shared" si="26"/>
        <v>0</v>
      </c>
      <c r="O28" s="86">
        <v>0.02</v>
      </c>
      <c r="P28" s="87">
        <f t="shared" si="27"/>
        <v>0</v>
      </c>
      <c r="Q28" s="86">
        <v>0.25</v>
      </c>
      <c r="R28" s="87">
        <f t="shared" si="28"/>
        <v>0</v>
      </c>
      <c r="S28" s="93">
        <f t="shared" si="29"/>
        <v>0</v>
      </c>
      <c r="T28" s="88">
        <v>0.02</v>
      </c>
      <c r="U28" s="89">
        <f t="shared" si="30"/>
        <v>0</v>
      </c>
      <c r="V28" s="88">
        <v>0.5</v>
      </c>
      <c r="W28" s="89">
        <f t="shared" si="34"/>
        <v>0</v>
      </c>
      <c r="X28" s="93">
        <f t="shared" si="31"/>
        <v>0</v>
      </c>
      <c r="Y28" s="88">
        <v>0</v>
      </c>
      <c r="Z28" s="89">
        <f t="shared" si="17"/>
        <v>0</v>
      </c>
      <c r="AA28" s="93">
        <f t="shared" si="32"/>
        <v>0</v>
      </c>
      <c r="AB28" s="81">
        <f t="shared" si="33"/>
        <v>0</v>
      </c>
      <c r="AC28" s="82">
        <f t="shared" si="18"/>
        <v>1</v>
      </c>
      <c r="AD28" s="159">
        <f t="shared" si="19"/>
        <v>0</v>
      </c>
    </row>
    <row r="29" spans="1:30" x14ac:dyDescent="0.25">
      <c r="A29" s="46" t="s">
        <v>155</v>
      </c>
      <c r="B29" s="90">
        <v>20000</v>
      </c>
      <c r="C29" s="91">
        <v>0.1</v>
      </c>
      <c r="D29" s="85">
        <f t="shared" si="20"/>
        <v>2000</v>
      </c>
      <c r="E29" s="122">
        <v>0</v>
      </c>
      <c r="F29" s="123">
        <f t="shared" si="21"/>
        <v>0</v>
      </c>
      <c r="G29" s="122">
        <v>0</v>
      </c>
      <c r="H29" s="123">
        <f t="shared" si="22"/>
        <v>0</v>
      </c>
      <c r="I29" s="122">
        <v>0</v>
      </c>
      <c r="J29" s="123">
        <f t="shared" si="23"/>
        <v>0</v>
      </c>
      <c r="K29" s="93">
        <f t="shared" si="24"/>
        <v>0</v>
      </c>
      <c r="L29" s="86">
        <v>0.1</v>
      </c>
      <c r="M29" s="87">
        <f t="shared" si="25"/>
        <v>2000</v>
      </c>
      <c r="N29" s="93">
        <f t="shared" si="26"/>
        <v>2000</v>
      </c>
      <c r="O29" s="86">
        <v>0.1</v>
      </c>
      <c r="P29" s="87">
        <f t="shared" si="27"/>
        <v>2000</v>
      </c>
      <c r="Q29" s="86">
        <v>0.28000000000000003</v>
      </c>
      <c r="R29" s="87">
        <f t="shared" si="28"/>
        <v>5600.0000000000009</v>
      </c>
      <c r="S29" s="93">
        <f t="shared" si="29"/>
        <v>7600.0000000000009</v>
      </c>
      <c r="T29" s="88">
        <v>0.02</v>
      </c>
      <c r="U29" s="89">
        <f t="shared" si="30"/>
        <v>400</v>
      </c>
      <c r="V29" s="88">
        <v>0.4</v>
      </c>
      <c r="W29" s="89">
        <f t="shared" si="34"/>
        <v>8000</v>
      </c>
      <c r="X29" s="93">
        <f t="shared" si="31"/>
        <v>8400</v>
      </c>
      <c r="Y29" s="88">
        <v>0</v>
      </c>
      <c r="Z29" s="89">
        <f t="shared" si="17"/>
        <v>0</v>
      </c>
      <c r="AA29" s="93">
        <f t="shared" si="32"/>
        <v>0</v>
      </c>
      <c r="AB29" s="81">
        <f t="shared" si="33"/>
        <v>0</v>
      </c>
      <c r="AC29" s="82">
        <f t="shared" si="18"/>
        <v>1</v>
      </c>
      <c r="AD29" s="159">
        <f t="shared" si="19"/>
        <v>7600.0000000000009</v>
      </c>
    </row>
    <row r="30" spans="1:30" x14ac:dyDescent="0.25">
      <c r="A30" s="46" t="s">
        <v>115</v>
      </c>
      <c r="B30" s="90"/>
      <c r="C30" s="91">
        <v>0.1</v>
      </c>
      <c r="D30" s="85">
        <f t="shared" si="20"/>
        <v>0</v>
      </c>
      <c r="E30" s="122">
        <v>0</v>
      </c>
      <c r="F30" s="123">
        <f t="shared" si="21"/>
        <v>0</v>
      </c>
      <c r="G30" s="122">
        <v>0</v>
      </c>
      <c r="H30" s="123">
        <f t="shared" si="22"/>
        <v>0</v>
      </c>
      <c r="I30" s="122">
        <v>0</v>
      </c>
      <c r="J30" s="123">
        <f t="shared" si="23"/>
        <v>0</v>
      </c>
      <c r="K30" s="93">
        <f t="shared" si="24"/>
        <v>0</v>
      </c>
      <c r="L30" s="86">
        <v>0.01</v>
      </c>
      <c r="M30" s="87">
        <f t="shared" si="25"/>
        <v>0</v>
      </c>
      <c r="N30" s="93">
        <f t="shared" si="26"/>
        <v>0</v>
      </c>
      <c r="O30" s="86">
        <v>0.1</v>
      </c>
      <c r="P30" s="87">
        <f t="shared" si="27"/>
        <v>0</v>
      </c>
      <c r="Q30" s="86">
        <v>0.2</v>
      </c>
      <c r="R30" s="87">
        <f t="shared" si="28"/>
        <v>0</v>
      </c>
      <c r="S30" s="93">
        <f t="shared" si="29"/>
        <v>0</v>
      </c>
      <c r="T30" s="88">
        <v>0.05</v>
      </c>
      <c r="U30" s="89">
        <f t="shared" si="30"/>
        <v>0</v>
      </c>
      <c r="V30" s="88">
        <v>0.5</v>
      </c>
      <c r="W30" s="89">
        <f t="shared" si="34"/>
        <v>0</v>
      </c>
      <c r="X30" s="93">
        <f t="shared" si="31"/>
        <v>0</v>
      </c>
      <c r="Y30" s="88">
        <v>0.04</v>
      </c>
      <c r="Z30" s="89">
        <f t="shared" si="17"/>
        <v>0</v>
      </c>
      <c r="AA30" s="93">
        <f t="shared" si="32"/>
        <v>0</v>
      </c>
      <c r="AB30" s="81">
        <f t="shared" si="33"/>
        <v>0</v>
      </c>
      <c r="AC30" s="82">
        <f t="shared" si="18"/>
        <v>1</v>
      </c>
      <c r="AD30" s="159">
        <f t="shared" si="19"/>
        <v>0</v>
      </c>
    </row>
    <row r="31" spans="1:30" x14ac:dyDescent="0.25">
      <c r="A31" s="46" t="s">
        <v>72</v>
      </c>
      <c r="B31" s="90"/>
      <c r="C31" s="91">
        <v>0.1</v>
      </c>
      <c r="D31" s="85">
        <f t="shared" si="20"/>
        <v>0</v>
      </c>
      <c r="E31" s="122">
        <v>0</v>
      </c>
      <c r="F31" s="123">
        <f t="shared" si="21"/>
        <v>0</v>
      </c>
      <c r="G31" s="122">
        <v>0</v>
      </c>
      <c r="H31" s="123">
        <f t="shared" si="22"/>
        <v>0</v>
      </c>
      <c r="I31" s="122">
        <v>0</v>
      </c>
      <c r="J31" s="123">
        <f t="shared" si="23"/>
        <v>0</v>
      </c>
      <c r="K31" s="93">
        <f t="shared" si="24"/>
        <v>0</v>
      </c>
      <c r="L31" s="86">
        <v>0.01</v>
      </c>
      <c r="M31" s="87">
        <f t="shared" si="25"/>
        <v>0</v>
      </c>
      <c r="N31" s="93">
        <f t="shared" si="26"/>
        <v>0</v>
      </c>
      <c r="O31" s="86">
        <v>0.1</v>
      </c>
      <c r="P31" s="87">
        <f t="shared" si="27"/>
        <v>0</v>
      </c>
      <c r="Q31" s="86">
        <v>0.2</v>
      </c>
      <c r="R31" s="87">
        <f t="shared" si="28"/>
        <v>0</v>
      </c>
      <c r="S31" s="93">
        <f t="shared" si="29"/>
        <v>0</v>
      </c>
      <c r="T31" s="88">
        <v>0.05</v>
      </c>
      <c r="U31" s="89">
        <f t="shared" si="30"/>
        <v>0</v>
      </c>
      <c r="V31" s="88">
        <v>0.3</v>
      </c>
      <c r="W31" s="89">
        <f t="shared" si="34"/>
        <v>0</v>
      </c>
      <c r="X31" s="93">
        <f t="shared" si="31"/>
        <v>0</v>
      </c>
      <c r="Y31" s="88">
        <v>0.24</v>
      </c>
      <c r="Z31" s="89">
        <f t="shared" si="17"/>
        <v>0</v>
      </c>
      <c r="AA31" s="93">
        <f t="shared" si="32"/>
        <v>0</v>
      </c>
      <c r="AB31" s="81">
        <f t="shared" si="33"/>
        <v>0</v>
      </c>
      <c r="AC31" s="82">
        <f t="shared" si="18"/>
        <v>1</v>
      </c>
      <c r="AD31" s="159">
        <f t="shared" si="19"/>
        <v>0</v>
      </c>
    </row>
    <row r="32" spans="1:30" x14ac:dyDescent="0.25">
      <c r="A32" s="46" t="s">
        <v>52</v>
      </c>
      <c r="B32" s="90">
        <v>2064700</v>
      </c>
      <c r="C32" s="91">
        <v>0.1</v>
      </c>
      <c r="D32" s="85">
        <f t="shared" si="20"/>
        <v>206470</v>
      </c>
      <c r="E32" s="122">
        <v>0</v>
      </c>
      <c r="F32" s="123">
        <f t="shared" si="21"/>
        <v>0</v>
      </c>
      <c r="G32" s="122">
        <v>0</v>
      </c>
      <c r="H32" s="123">
        <f t="shared" si="22"/>
        <v>0</v>
      </c>
      <c r="I32" s="122">
        <v>0</v>
      </c>
      <c r="J32" s="123">
        <f t="shared" si="23"/>
        <v>0</v>
      </c>
      <c r="K32" s="93">
        <f t="shared" si="24"/>
        <v>0</v>
      </c>
      <c r="L32" s="86">
        <v>0.01</v>
      </c>
      <c r="M32" s="87">
        <f t="shared" si="25"/>
        <v>20647</v>
      </c>
      <c r="N32" s="93">
        <f t="shared" si="26"/>
        <v>20647</v>
      </c>
      <c r="O32" s="86">
        <v>0.1</v>
      </c>
      <c r="P32" s="87">
        <f t="shared" si="27"/>
        <v>206470</v>
      </c>
      <c r="Q32" s="86">
        <v>0.2</v>
      </c>
      <c r="R32" s="87">
        <f t="shared" si="28"/>
        <v>412940</v>
      </c>
      <c r="S32" s="93">
        <f t="shared" si="29"/>
        <v>619410</v>
      </c>
      <c r="T32" s="88">
        <v>0.05</v>
      </c>
      <c r="U32" s="89">
        <f t="shared" si="30"/>
        <v>103235</v>
      </c>
      <c r="V32" s="88">
        <v>0.54</v>
      </c>
      <c r="W32" s="89">
        <f t="shared" si="34"/>
        <v>1114938</v>
      </c>
      <c r="X32" s="93">
        <f t="shared" si="31"/>
        <v>1218173</v>
      </c>
      <c r="Y32" s="88">
        <v>0</v>
      </c>
      <c r="Z32" s="89">
        <f t="shared" si="17"/>
        <v>0</v>
      </c>
      <c r="AA32" s="93">
        <f t="shared" si="32"/>
        <v>0</v>
      </c>
      <c r="AB32" s="81">
        <f t="shared" si="33"/>
        <v>0</v>
      </c>
      <c r="AC32" s="82">
        <f t="shared" si="18"/>
        <v>1</v>
      </c>
      <c r="AD32" s="159">
        <f t="shared" si="19"/>
        <v>619410</v>
      </c>
    </row>
    <row r="33" spans="1:30" x14ac:dyDescent="0.25">
      <c r="A33" s="46" t="s">
        <v>189</v>
      </c>
      <c r="B33" s="90"/>
      <c r="C33" s="91">
        <v>0.1</v>
      </c>
      <c r="D33" s="85">
        <f t="shared" si="20"/>
        <v>0</v>
      </c>
      <c r="E33" s="122">
        <v>0</v>
      </c>
      <c r="F33" s="123">
        <f t="shared" si="21"/>
        <v>0</v>
      </c>
      <c r="G33" s="122">
        <v>0</v>
      </c>
      <c r="H33" s="123">
        <f t="shared" si="22"/>
        <v>0</v>
      </c>
      <c r="I33" s="122">
        <v>0</v>
      </c>
      <c r="J33" s="123">
        <f t="shared" si="23"/>
        <v>0</v>
      </c>
      <c r="K33" s="93">
        <f t="shared" si="24"/>
        <v>0</v>
      </c>
      <c r="L33" s="86">
        <v>0.01</v>
      </c>
      <c r="M33" s="87">
        <f t="shared" si="25"/>
        <v>0</v>
      </c>
      <c r="N33" s="93">
        <f t="shared" si="26"/>
        <v>0</v>
      </c>
      <c r="O33" s="86">
        <v>0.1</v>
      </c>
      <c r="P33" s="87">
        <f t="shared" si="27"/>
        <v>0</v>
      </c>
      <c r="Q33" s="86">
        <v>0.2</v>
      </c>
      <c r="R33" s="87">
        <f t="shared" si="28"/>
        <v>0</v>
      </c>
      <c r="S33" s="93">
        <f t="shared" si="29"/>
        <v>0</v>
      </c>
      <c r="T33" s="88">
        <v>0.05</v>
      </c>
      <c r="U33" s="89">
        <f t="shared" si="30"/>
        <v>0</v>
      </c>
      <c r="V33" s="88">
        <v>0.54</v>
      </c>
      <c r="W33" s="89">
        <f t="shared" si="34"/>
        <v>0</v>
      </c>
      <c r="X33" s="93">
        <f t="shared" si="31"/>
        <v>0</v>
      </c>
      <c r="Y33" s="88">
        <v>0</v>
      </c>
      <c r="Z33" s="89">
        <f t="shared" si="17"/>
        <v>0</v>
      </c>
      <c r="AA33" s="93">
        <f t="shared" si="32"/>
        <v>0</v>
      </c>
      <c r="AB33" s="81">
        <f t="shared" si="33"/>
        <v>0</v>
      </c>
      <c r="AC33" s="82">
        <f t="shared" si="18"/>
        <v>1</v>
      </c>
      <c r="AD33" s="159">
        <f t="shared" si="19"/>
        <v>0</v>
      </c>
    </row>
    <row r="34" spans="1:30" x14ac:dyDescent="0.25">
      <c r="A34" s="46" t="s">
        <v>190</v>
      </c>
      <c r="B34" s="90"/>
      <c r="C34" s="91">
        <v>0.1</v>
      </c>
      <c r="D34" s="85">
        <f t="shared" si="20"/>
        <v>0</v>
      </c>
      <c r="E34" s="122">
        <v>0</v>
      </c>
      <c r="F34" s="123">
        <f t="shared" si="21"/>
        <v>0</v>
      </c>
      <c r="G34" s="122">
        <v>0</v>
      </c>
      <c r="H34" s="123">
        <f t="shared" si="22"/>
        <v>0</v>
      </c>
      <c r="I34" s="122">
        <v>0</v>
      </c>
      <c r="J34" s="123">
        <f t="shared" si="23"/>
        <v>0</v>
      </c>
      <c r="K34" s="93">
        <f t="shared" si="24"/>
        <v>0</v>
      </c>
      <c r="L34" s="86">
        <v>0.01</v>
      </c>
      <c r="M34" s="87">
        <f t="shared" si="25"/>
        <v>0</v>
      </c>
      <c r="N34" s="93">
        <f t="shared" si="26"/>
        <v>0</v>
      </c>
      <c r="O34" s="86">
        <v>0.1</v>
      </c>
      <c r="P34" s="87">
        <f t="shared" si="27"/>
        <v>0</v>
      </c>
      <c r="Q34" s="86">
        <v>0.2</v>
      </c>
      <c r="R34" s="87">
        <f t="shared" si="28"/>
        <v>0</v>
      </c>
      <c r="S34" s="93">
        <f t="shared" si="29"/>
        <v>0</v>
      </c>
      <c r="T34" s="88">
        <v>0.05</v>
      </c>
      <c r="U34" s="89">
        <f t="shared" si="30"/>
        <v>0</v>
      </c>
      <c r="V34" s="88">
        <v>0.54</v>
      </c>
      <c r="W34" s="89">
        <f t="shared" si="34"/>
        <v>0</v>
      </c>
      <c r="X34" s="93">
        <f t="shared" si="31"/>
        <v>0</v>
      </c>
      <c r="Y34" s="88">
        <v>0</v>
      </c>
      <c r="Z34" s="89">
        <f t="shared" si="17"/>
        <v>0</v>
      </c>
      <c r="AA34" s="93">
        <f t="shared" si="32"/>
        <v>0</v>
      </c>
      <c r="AB34" s="81">
        <f t="shared" si="33"/>
        <v>0</v>
      </c>
      <c r="AC34" s="82">
        <f t="shared" si="18"/>
        <v>1</v>
      </c>
      <c r="AD34" s="159">
        <f t="shared" si="19"/>
        <v>0</v>
      </c>
    </row>
    <row r="35" spans="1:30" x14ac:dyDescent="0.25">
      <c r="A35" s="46" t="s">
        <v>6</v>
      </c>
      <c r="B35" s="90"/>
      <c r="C35" s="91">
        <v>0.1</v>
      </c>
      <c r="D35" s="85">
        <f t="shared" si="20"/>
        <v>0</v>
      </c>
      <c r="E35" s="122">
        <v>0</v>
      </c>
      <c r="F35" s="123">
        <f t="shared" si="21"/>
        <v>0</v>
      </c>
      <c r="G35" s="122">
        <v>0</v>
      </c>
      <c r="H35" s="123">
        <f t="shared" si="22"/>
        <v>0</v>
      </c>
      <c r="I35" s="122">
        <v>0</v>
      </c>
      <c r="J35" s="123">
        <f t="shared" si="23"/>
        <v>0</v>
      </c>
      <c r="K35" s="93">
        <f t="shared" si="24"/>
        <v>0</v>
      </c>
      <c r="L35" s="86">
        <v>0</v>
      </c>
      <c r="M35" s="87">
        <f t="shared" si="25"/>
        <v>0</v>
      </c>
      <c r="N35" s="93">
        <f t="shared" si="26"/>
        <v>0</v>
      </c>
      <c r="O35" s="86">
        <v>0</v>
      </c>
      <c r="P35" s="87">
        <f t="shared" si="27"/>
        <v>0</v>
      </c>
      <c r="Q35" s="86">
        <v>0</v>
      </c>
      <c r="R35" s="87">
        <f t="shared" si="28"/>
        <v>0</v>
      </c>
      <c r="S35" s="93">
        <f t="shared" si="29"/>
        <v>0</v>
      </c>
      <c r="T35" s="88">
        <v>0</v>
      </c>
      <c r="U35" s="89">
        <f t="shared" si="30"/>
        <v>0</v>
      </c>
      <c r="V35" s="88">
        <v>0.2</v>
      </c>
      <c r="W35" s="89">
        <f t="shared" si="34"/>
        <v>0</v>
      </c>
      <c r="X35" s="93">
        <f t="shared" si="31"/>
        <v>0</v>
      </c>
      <c r="Y35" s="88">
        <v>0.7</v>
      </c>
      <c r="Z35" s="89">
        <f t="shared" si="17"/>
        <v>0</v>
      </c>
      <c r="AA35" s="93">
        <f t="shared" si="32"/>
        <v>0</v>
      </c>
      <c r="AB35" s="81">
        <f t="shared" si="33"/>
        <v>0</v>
      </c>
      <c r="AC35" s="82">
        <f t="shared" si="18"/>
        <v>1</v>
      </c>
      <c r="AD35" s="159">
        <f t="shared" si="19"/>
        <v>0</v>
      </c>
    </row>
    <row r="36" spans="1:30" x14ac:dyDescent="0.25">
      <c r="A36" s="46" t="s">
        <v>191</v>
      </c>
      <c r="B36" s="90">
        <v>188981</v>
      </c>
      <c r="C36" s="91">
        <v>0.1</v>
      </c>
      <c r="D36" s="85">
        <f t="shared" si="20"/>
        <v>18898.100000000002</v>
      </c>
      <c r="E36" s="122">
        <v>0</v>
      </c>
      <c r="F36" s="123">
        <f t="shared" si="21"/>
        <v>0</v>
      </c>
      <c r="G36" s="122">
        <v>0</v>
      </c>
      <c r="H36" s="123">
        <f t="shared" si="22"/>
        <v>0</v>
      </c>
      <c r="I36" s="122">
        <v>0</v>
      </c>
      <c r="J36" s="123">
        <f t="shared" si="23"/>
        <v>0</v>
      </c>
      <c r="K36" s="93">
        <f t="shared" si="24"/>
        <v>0</v>
      </c>
      <c r="L36" s="86">
        <v>0.01</v>
      </c>
      <c r="M36" s="87">
        <f t="shared" si="25"/>
        <v>1889.81</v>
      </c>
      <c r="N36" s="93">
        <f t="shared" si="26"/>
        <v>1889.81</v>
      </c>
      <c r="O36" s="86">
        <v>0.05</v>
      </c>
      <c r="P36" s="87">
        <f t="shared" si="27"/>
        <v>9449.0500000000011</v>
      </c>
      <c r="Q36" s="86">
        <v>0.1</v>
      </c>
      <c r="R36" s="87">
        <f t="shared" si="28"/>
        <v>18898.100000000002</v>
      </c>
      <c r="S36" s="93">
        <f t="shared" si="29"/>
        <v>28347.15</v>
      </c>
      <c r="T36" s="88">
        <v>0.02</v>
      </c>
      <c r="U36" s="89">
        <f t="shared" si="30"/>
        <v>3779.62</v>
      </c>
      <c r="V36" s="88">
        <v>0.4</v>
      </c>
      <c r="W36" s="89">
        <f t="shared" si="34"/>
        <v>75592.400000000009</v>
      </c>
      <c r="X36" s="93">
        <f t="shared" si="31"/>
        <v>79372.02</v>
      </c>
      <c r="Y36" s="88">
        <v>0.32</v>
      </c>
      <c r="Z36" s="89">
        <f t="shared" si="17"/>
        <v>60473.919999999998</v>
      </c>
      <c r="AA36" s="93">
        <f t="shared" si="32"/>
        <v>60473.919999999998</v>
      </c>
      <c r="AB36" s="81">
        <f t="shared" si="33"/>
        <v>0</v>
      </c>
      <c r="AC36" s="82">
        <f t="shared" si="18"/>
        <v>1</v>
      </c>
      <c r="AD36" s="159">
        <f t="shared" si="19"/>
        <v>88821.07</v>
      </c>
    </row>
    <row r="37" spans="1:30" x14ac:dyDescent="0.25">
      <c r="A37" s="46" t="s">
        <v>269</v>
      </c>
      <c r="B37" s="90">
        <v>596131</v>
      </c>
      <c r="C37" s="91">
        <v>0</v>
      </c>
      <c r="D37" s="85">
        <f t="shared" si="20"/>
        <v>0</v>
      </c>
      <c r="E37" s="122">
        <v>0</v>
      </c>
      <c r="F37" s="123">
        <f t="shared" si="21"/>
        <v>0</v>
      </c>
      <c r="G37" s="122">
        <v>0</v>
      </c>
      <c r="H37" s="123">
        <f t="shared" si="22"/>
        <v>0</v>
      </c>
      <c r="I37" s="122">
        <v>0</v>
      </c>
      <c r="J37" s="123">
        <f t="shared" si="23"/>
        <v>0</v>
      </c>
      <c r="K37" s="93">
        <f t="shared" si="24"/>
        <v>0</v>
      </c>
      <c r="L37" s="86">
        <v>0</v>
      </c>
      <c r="M37" s="87">
        <f t="shared" si="25"/>
        <v>0</v>
      </c>
      <c r="N37" s="93">
        <f t="shared" si="26"/>
        <v>0</v>
      </c>
      <c r="O37" s="86">
        <v>0</v>
      </c>
      <c r="P37" s="87">
        <f t="shared" si="27"/>
        <v>0</v>
      </c>
      <c r="Q37" s="86">
        <v>1</v>
      </c>
      <c r="R37" s="87">
        <f t="shared" si="28"/>
        <v>596131</v>
      </c>
      <c r="S37" s="93">
        <f t="shared" si="29"/>
        <v>596131</v>
      </c>
      <c r="T37" s="88">
        <v>0</v>
      </c>
      <c r="U37" s="89">
        <f t="shared" si="30"/>
        <v>0</v>
      </c>
      <c r="V37" s="88">
        <v>0</v>
      </c>
      <c r="W37" s="89">
        <f t="shared" si="34"/>
        <v>0</v>
      </c>
      <c r="X37" s="93">
        <f t="shared" si="31"/>
        <v>0</v>
      </c>
      <c r="Y37" s="88">
        <v>0</v>
      </c>
      <c r="Z37" s="89">
        <f t="shared" si="17"/>
        <v>0</v>
      </c>
      <c r="AA37" s="93">
        <f t="shared" si="32"/>
        <v>0</v>
      </c>
      <c r="AB37" s="81">
        <f t="shared" si="33"/>
        <v>0</v>
      </c>
      <c r="AC37" s="82">
        <f t="shared" si="18"/>
        <v>1</v>
      </c>
      <c r="AD37" s="159">
        <f t="shared" si="19"/>
        <v>596131</v>
      </c>
    </row>
    <row r="38" spans="1:30" x14ac:dyDescent="0.25">
      <c r="A38" s="46" t="s">
        <v>192</v>
      </c>
      <c r="B38" s="90">
        <v>206653</v>
      </c>
      <c r="C38" s="91">
        <v>0.1</v>
      </c>
      <c r="D38" s="85">
        <f t="shared" si="20"/>
        <v>20665.300000000003</v>
      </c>
      <c r="E38" s="122">
        <v>0</v>
      </c>
      <c r="F38" s="123">
        <f t="shared" si="21"/>
        <v>0</v>
      </c>
      <c r="G38" s="122">
        <v>0</v>
      </c>
      <c r="H38" s="123">
        <f t="shared" si="22"/>
        <v>0</v>
      </c>
      <c r="I38" s="122">
        <v>0</v>
      </c>
      <c r="J38" s="123">
        <f t="shared" si="23"/>
        <v>0</v>
      </c>
      <c r="K38" s="93">
        <f t="shared" si="24"/>
        <v>0</v>
      </c>
      <c r="L38" s="86">
        <v>0.01</v>
      </c>
      <c r="M38" s="87">
        <f t="shared" si="25"/>
        <v>2066.5300000000002</v>
      </c>
      <c r="N38" s="93">
        <f t="shared" si="26"/>
        <v>2066.5300000000002</v>
      </c>
      <c r="O38" s="86">
        <v>0.1</v>
      </c>
      <c r="P38" s="87">
        <f t="shared" si="27"/>
        <v>20665.300000000003</v>
      </c>
      <c r="Q38" s="86">
        <v>0.1</v>
      </c>
      <c r="R38" s="87">
        <f t="shared" si="28"/>
        <v>20665.300000000003</v>
      </c>
      <c r="S38" s="93">
        <f t="shared" si="29"/>
        <v>41330.600000000006</v>
      </c>
      <c r="T38" s="88">
        <v>0.1</v>
      </c>
      <c r="U38" s="89">
        <f t="shared" si="30"/>
        <v>20665.300000000003</v>
      </c>
      <c r="V38" s="88">
        <v>0.59</v>
      </c>
      <c r="W38" s="89">
        <f t="shared" si="34"/>
        <v>121925.26999999999</v>
      </c>
      <c r="X38" s="93">
        <f t="shared" si="31"/>
        <v>142590.57</v>
      </c>
      <c r="Y38" s="88">
        <v>0</v>
      </c>
      <c r="Z38" s="89">
        <f t="shared" si="17"/>
        <v>0</v>
      </c>
      <c r="AA38" s="93">
        <f t="shared" si="32"/>
        <v>0</v>
      </c>
      <c r="AB38" s="81">
        <f t="shared" si="33"/>
        <v>0</v>
      </c>
      <c r="AC38" s="82">
        <f t="shared" si="18"/>
        <v>1</v>
      </c>
      <c r="AD38" s="159">
        <f t="shared" si="19"/>
        <v>41330.600000000006</v>
      </c>
    </row>
    <row r="39" spans="1:30" x14ac:dyDescent="0.25">
      <c r="A39" s="46" t="s">
        <v>247</v>
      </c>
      <c r="B39" s="90">
        <v>308759</v>
      </c>
      <c r="C39" s="91">
        <v>0.1</v>
      </c>
      <c r="D39" s="85">
        <f t="shared" si="20"/>
        <v>30875.9</v>
      </c>
      <c r="E39" s="122">
        <v>0</v>
      </c>
      <c r="F39" s="123">
        <f t="shared" si="21"/>
        <v>0</v>
      </c>
      <c r="G39" s="122">
        <v>0</v>
      </c>
      <c r="H39" s="123">
        <f t="shared" si="22"/>
        <v>0</v>
      </c>
      <c r="I39" s="122">
        <v>0</v>
      </c>
      <c r="J39" s="123">
        <f t="shared" si="23"/>
        <v>0</v>
      </c>
      <c r="K39" s="93">
        <f t="shared" si="24"/>
        <v>0</v>
      </c>
      <c r="L39" s="86">
        <v>0.01</v>
      </c>
      <c r="M39" s="87">
        <f t="shared" si="25"/>
        <v>3087.59</v>
      </c>
      <c r="N39" s="93">
        <f t="shared" si="26"/>
        <v>3087.59</v>
      </c>
      <c r="O39" s="86">
        <v>0.1</v>
      </c>
      <c r="P39" s="87">
        <f t="shared" si="27"/>
        <v>30875.9</v>
      </c>
      <c r="Q39" s="86">
        <v>0.1</v>
      </c>
      <c r="R39" s="87">
        <f t="shared" si="28"/>
        <v>30875.9</v>
      </c>
      <c r="S39" s="93">
        <f t="shared" si="29"/>
        <v>61751.8</v>
      </c>
      <c r="T39" s="88">
        <v>0.1</v>
      </c>
      <c r="U39" s="89">
        <f t="shared" si="30"/>
        <v>30875.9</v>
      </c>
      <c r="V39" s="88">
        <v>0.59</v>
      </c>
      <c r="W39" s="89">
        <f t="shared" si="34"/>
        <v>182167.81</v>
      </c>
      <c r="X39" s="93">
        <f t="shared" si="31"/>
        <v>213043.71</v>
      </c>
      <c r="Y39" s="88">
        <v>0</v>
      </c>
      <c r="Z39" s="89">
        <f t="shared" si="17"/>
        <v>0</v>
      </c>
      <c r="AA39" s="93">
        <f t="shared" si="32"/>
        <v>0</v>
      </c>
      <c r="AB39" s="81">
        <f t="shared" si="33"/>
        <v>0</v>
      </c>
      <c r="AC39" s="82">
        <f t="shared" si="18"/>
        <v>1</v>
      </c>
      <c r="AD39" s="159">
        <f t="shared" si="19"/>
        <v>61751.8</v>
      </c>
    </row>
    <row r="40" spans="1:30" x14ac:dyDescent="0.25">
      <c r="A40" s="46" t="s">
        <v>48</v>
      </c>
      <c r="B40" s="90">
        <v>239650</v>
      </c>
      <c r="C40" s="91">
        <v>0.1</v>
      </c>
      <c r="D40" s="85">
        <f t="shared" si="20"/>
        <v>23965</v>
      </c>
      <c r="E40" s="122">
        <v>0</v>
      </c>
      <c r="F40" s="123">
        <f t="shared" si="21"/>
        <v>0</v>
      </c>
      <c r="G40" s="122">
        <v>0</v>
      </c>
      <c r="H40" s="123">
        <f t="shared" si="22"/>
        <v>0</v>
      </c>
      <c r="I40" s="122">
        <v>0</v>
      </c>
      <c r="J40" s="123">
        <f t="shared" si="23"/>
        <v>0</v>
      </c>
      <c r="K40" s="93">
        <f t="shared" si="24"/>
        <v>0</v>
      </c>
      <c r="L40" s="86">
        <v>0.01</v>
      </c>
      <c r="M40" s="87">
        <f t="shared" si="25"/>
        <v>2396.5</v>
      </c>
      <c r="N40" s="93">
        <f t="shared" si="26"/>
        <v>2396.5</v>
      </c>
      <c r="O40" s="86">
        <v>0.1</v>
      </c>
      <c r="P40" s="87">
        <f t="shared" si="27"/>
        <v>23965</v>
      </c>
      <c r="Q40" s="86">
        <v>0.1</v>
      </c>
      <c r="R40" s="87">
        <f t="shared" si="28"/>
        <v>23965</v>
      </c>
      <c r="S40" s="93">
        <f t="shared" si="29"/>
        <v>47930</v>
      </c>
      <c r="T40" s="88">
        <v>0.1</v>
      </c>
      <c r="U40" s="89">
        <f t="shared" si="30"/>
        <v>23965</v>
      </c>
      <c r="V40" s="88">
        <v>0.59</v>
      </c>
      <c r="W40" s="89">
        <f t="shared" si="34"/>
        <v>141393.5</v>
      </c>
      <c r="X40" s="93">
        <f t="shared" si="31"/>
        <v>165358.5</v>
      </c>
      <c r="Y40" s="88">
        <v>0</v>
      </c>
      <c r="Z40" s="89">
        <f t="shared" si="17"/>
        <v>0</v>
      </c>
      <c r="AA40" s="93">
        <f t="shared" si="32"/>
        <v>0</v>
      </c>
      <c r="AB40" s="81">
        <f t="shared" si="33"/>
        <v>0</v>
      </c>
      <c r="AC40" s="82">
        <f t="shared" si="18"/>
        <v>1</v>
      </c>
      <c r="AD40" s="159">
        <f t="shared" si="19"/>
        <v>47930</v>
      </c>
    </row>
    <row r="41" spans="1:30" x14ac:dyDescent="0.25">
      <c r="A41" s="46" t="s">
        <v>49</v>
      </c>
      <c r="B41" s="90">
        <v>4202</v>
      </c>
      <c r="C41" s="91">
        <v>0.1</v>
      </c>
      <c r="D41" s="85">
        <f t="shared" si="20"/>
        <v>420.20000000000005</v>
      </c>
      <c r="E41" s="122">
        <v>0</v>
      </c>
      <c r="F41" s="123">
        <f t="shared" si="21"/>
        <v>0</v>
      </c>
      <c r="G41" s="122">
        <v>0</v>
      </c>
      <c r="H41" s="123">
        <f t="shared" si="22"/>
        <v>0</v>
      </c>
      <c r="I41" s="122">
        <v>0</v>
      </c>
      <c r="J41" s="123">
        <f t="shared" si="23"/>
        <v>0</v>
      </c>
      <c r="K41" s="93">
        <f t="shared" si="24"/>
        <v>0</v>
      </c>
      <c r="L41" s="86">
        <v>0.01</v>
      </c>
      <c r="M41" s="87">
        <f t="shared" si="25"/>
        <v>42.02</v>
      </c>
      <c r="N41" s="93">
        <f t="shared" si="26"/>
        <v>42.02</v>
      </c>
      <c r="O41" s="86">
        <v>0.1</v>
      </c>
      <c r="P41" s="87">
        <f t="shared" si="27"/>
        <v>420.20000000000005</v>
      </c>
      <c r="Q41" s="86">
        <v>0.2</v>
      </c>
      <c r="R41" s="87">
        <f t="shared" si="28"/>
        <v>840.40000000000009</v>
      </c>
      <c r="S41" s="93">
        <f t="shared" si="29"/>
        <v>1260.6000000000001</v>
      </c>
      <c r="T41" s="88">
        <v>0.1</v>
      </c>
      <c r="U41" s="89">
        <f t="shared" si="30"/>
        <v>420.20000000000005</v>
      </c>
      <c r="V41" s="88">
        <v>0.49</v>
      </c>
      <c r="W41" s="89">
        <f t="shared" si="34"/>
        <v>2058.98</v>
      </c>
      <c r="X41" s="93">
        <f t="shared" si="31"/>
        <v>2479.1800000000003</v>
      </c>
      <c r="Y41" s="88">
        <v>0</v>
      </c>
      <c r="Z41" s="89">
        <f t="shared" si="17"/>
        <v>0</v>
      </c>
      <c r="AA41" s="93">
        <f t="shared" si="32"/>
        <v>0</v>
      </c>
      <c r="AB41" s="81">
        <f t="shared" si="33"/>
        <v>0</v>
      </c>
      <c r="AC41" s="82">
        <f t="shared" si="18"/>
        <v>1</v>
      </c>
      <c r="AD41" s="159">
        <f t="shared" si="19"/>
        <v>1260.6000000000001</v>
      </c>
    </row>
    <row r="42" spans="1:30" x14ac:dyDescent="0.25">
      <c r="A42" s="46" t="s">
        <v>193</v>
      </c>
      <c r="B42" s="90">
        <v>361102</v>
      </c>
      <c r="C42" s="91">
        <v>0</v>
      </c>
      <c r="D42" s="85">
        <f t="shared" si="20"/>
        <v>0</v>
      </c>
      <c r="E42" s="122">
        <v>0</v>
      </c>
      <c r="F42" s="123">
        <f t="shared" si="21"/>
        <v>0</v>
      </c>
      <c r="G42" s="122">
        <v>0</v>
      </c>
      <c r="H42" s="123">
        <f t="shared" si="22"/>
        <v>0</v>
      </c>
      <c r="I42" s="122">
        <v>0</v>
      </c>
      <c r="J42" s="123">
        <f t="shared" si="23"/>
        <v>0</v>
      </c>
      <c r="K42" s="93">
        <f t="shared" si="24"/>
        <v>0</v>
      </c>
      <c r="L42" s="86">
        <v>0</v>
      </c>
      <c r="M42" s="87">
        <f t="shared" si="25"/>
        <v>0</v>
      </c>
      <c r="N42" s="93">
        <f t="shared" si="26"/>
        <v>0</v>
      </c>
      <c r="O42" s="86">
        <v>0</v>
      </c>
      <c r="P42" s="87">
        <f t="shared" si="27"/>
        <v>0</v>
      </c>
      <c r="Q42" s="86">
        <v>1</v>
      </c>
      <c r="R42" s="87">
        <f t="shared" si="28"/>
        <v>361102</v>
      </c>
      <c r="S42" s="93">
        <f t="shared" si="29"/>
        <v>361102</v>
      </c>
      <c r="T42" s="88">
        <v>0</v>
      </c>
      <c r="U42" s="89">
        <f t="shared" si="30"/>
        <v>0</v>
      </c>
      <c r="V42" s="88">
        <v>0</v>
      </c>
      <c r="W42" s="89">
        <f t="shared" si="34"/>
        <v>0</v>
      </c>
      <c r="X42" s="93">
        <f t="shared" si="31"/>
        <v>0</v>
      </c>
      <c r="Y42" s="88">
        <v>0</v>
      </c>
      <c r="Z42" s="89">
        <f t="shared" si="17"/>
        <v>0</v>
      </c>
      <c r="AA42" s="93">
        <f t="shared" si="32"/>
        <v>0</v>
      </c>
      <c r="AB42" s="81">
        <f t="shared" si="33"/>
        <v>0</v>
      </c>
      <c r="AC42" s="82">
        <f t="shared" si="18"/>
        <v>1</v>
      </c>
      <c r="AD42" s="159">
        <f t="shared" si="19"/>
        <v>361102</v>
      </c>
    </row>
    <row r="43" spans="1:30" x14ac:dyDescent="0.25">
      <c r="A43" s="46" t="s">
        <v>213</v>
      </c>
      <c r="B43" s="90">
        <v>2880000</v>
      </c>
      <c r="C43" s="91">
        <v>0</v>
      </c>
      <c r="D43" s="85">
        <f t="shared" si="20"/>
        <v>0</v>
      </c>
      <c r="E43" s="122">
        <v>0</v>
      </c>
      <c r="F43" s="123">
        <f t="shared" si="21"/>
        <v>0</v>
      </c>
      <c r="G43" s="122">
        <v>0</v>
      </c>
      <c r="H43" s="123">
        <f t="shared" si="22"/>
        <v>0</v>
      </c>
      <c r="I43" s="122">
        <v>0</v>
      </c>
      <c r="J43" s="123">
        <f t="shared" si="23"/>
        <v>0</v>
      </c>
      <c r="K43" s="93">
        <f t="shared" si="24"/>
        <v>0</v>
      </c>
      <c r="L43" s="86">
        <v>1</v>
      </c>
      <c r="M43" s="87">
        <f t="shared" si="25"/>
        <v>2880000</v>
      </c>
      <c r="N43" s="93">
        <f t="shared" si="26"/>
        <v>2880000</v>
      </c>
      <c r="O43" s="86">
        <v>0</v>
      </c>
      <c r="P43" s="87">
        <f t="shared" si="27"/>
        <v>0</v>
      </c>
      <c r="Q43" s="86">
        <v>0</v>
      </c>
      <c r="R43" s="87">
        <f t="shared" si="28"/>
        <v>0</v>
      </c>
      <c r="S43" s="93">
        <f t="shared" si="29"/>
        <v>0</v>
      </c>
      <c r="T43" s="88">
        <v>0</v>
      </c>
      <c r="U43" s="89">
        <f t="shared" si="30"/>
        <v>0</v>
      </c>
      <c r="V43" s="88">
        <v>0</v>
      </c>
      <c r="W43" s="89">
        <f t="shared" si="34"/>
        <v>0</v>
      </c>
      <c r="X43" s="93">
        <f t="shared" si="31"/>
        <v>0</v>
      </c>
      <c r="Y43" s="88">
        <v>0</v>
      </c>
      <c r="Z43" s="89">
        <f t="shared" si="17"/>
        <v>0</v>
      </c>
      <c r="AA43" s="93">
        <f t="shared" si="32"/>
        <v>0</v>
      </c>
      <c r="AB43" s="81">
        <f t="shared" si="33"/>
        <v>0</v>
      </c>
      <c r="AC43" s="82">
        <f t="shared" si="18"/>
        <v>1</v>
      </c>
      <c r="AD43" s="159">
        <f t="shared" si="19"/>
        <v>0</v>
      </c>
    </row>
    <row r="44" spans="1:30" x14ac:dyDescent="0.25">
      <c r="A44" s="46" t="s">
        <v>264</v>
      </c>
      <c r="B44" s="90">
        <v>10307300</v>
      </c>
      <c r="C44" s="91">
        <v>0</v>
      </c>
      <c r="D44" s="85">
        <f t="shared" si="20"/>
        <v>0</v>
      </c>
      <c r="E44" s="122">
        <v>0</v>
      </c>
      <c r="F44" s="123">
        <f t="shared" si="21"/>
        <v>0</v>
      </c>
      <c r="G44" s="122">
        <v>0</v>
      </c>
      <c r="H44" s="123">
        <f t="shared" si="22"/>
        <v>0</v>
      </c>
      <c r="I44" s="122">
        <v>0</v>
      </c>
      <c r="J44" s="123">
        <f t="shared" si="23"/>
        <v>0</v>
      </c>
      <c r="K44" s="93">
        <f t="shared" si="24"/>
        <v>0</v>
      </c>
      <c r="L44" s="86">
        <v>1</v>
      </c>
      <c r="M44" s="87">
        <f t="shared" si="25"/>
        <v>10307300</v>
      </c>
      <c r="N44" s="93">
        <f t="shared" si="26"/>
        <v>10307300</v>
      </c>
      <c r="O44" s="86">
        <v>0</v>
      </c>
      <c r="P44" s="87">
        <f t="shared" si="27"/>
        <v>0</v>
      </c>
      <c r="Q44" s="86">
        <v>0</v>
      </c>
      <c r="R44" s="87">
        <f t="shared" si="28"/>
        <v>0</v>
      </c>
      <c r="S44" s="93">
        <f t="shared" si="29"/>
        <v>0</v>
      </c>
      <c r="T44" s="88">
        <v>0</v>
      </c>
      <c r="U44" s="89">
        <f t="shared" si="30"/>
        <v>0</v>
      </c>
      <c r="V44" s="88">
        <v>0</v>
      </c>
      <c r="W44" s="89">
        <f t="shared" si="34"/>
        <v>0</v>
      </c>
      <c r="X44" s="93">
        <f t="shared" si="31"/>
        <v>0</v>
      </c>
      <c r="Y44" s="88">
        <v>0</v>
      </c>
      <c r="Z44" s="89">
        <f t="shared" si="17"/>
        <v>0</v>
      </c>
      <c r="AA44" s="93">
        <f t="shared" si="32"/>
        <v>0</v>
      </c>
      <c r="AB44" s="81">
        <f t="shared" si="33"/>
        <v>0</v>
      </c>
      <c r="AC44" s="82">
        <f t="shared" si="18"/>
        <v>1</v>
      </c>
      <c r="AD44" s="159">
        <f t="shared" si="19"/>
        <v>0</v>
      </c>
    </row>
    <row r="45" spans="1:30" x14ac:dyDescent="0.25">
      <c r="A45" s="46" t="s">
        <v>232</v>
      </c>
      <c r="B45" s="90"/>
      <c r="C45" s="91">
        <v>0</v>
      </c>
      <c r="D45" s="85">
        <f t="shared" si="20"/>
        <v>0</v>
      </c>
      <c r="E45" s="122">
        <v>0</v>
      </c>
      <c r="F45" s="123">
        <f t="shared" si="21"/>
        <v>0</v>
      </c>
      <c r="G45" s="122">
        <v>0</v>
      </c>
      <c r="H45" s="123">
        <f t="shared" si="22"/>
        <v>0</v>
      </c>
      <c r="I45" s="122">
        <v>0</v>
      </c>
      <c r="J45" s="123">
        <f t="shared" si="23"/>
        <v>0</v>
      </c>
      <c r="K45" s="93">
        <f t="shared" si="24"/>
        <v>0</v>
      </c>
      <c r="L45" s="86">
        <v>0</v>
      </c>
      <c r="M45" s="87">
        <f t="shared" si="25"/>
        <v>0</v>
      </c>
      <c r="N45" s="93">
        <f t="shared" si="26"/>
        <v>0</v>
      </c>
      <c r="O45" s="86">
        <v>0</v>
      </c>
      <c r="P45" s="87">
        <f t="shared" si="27"/>
        <v>0</v>
      </c>
      <c r="Q45" s="86">
        <v>0</v>
      </c>
      <c r="R45" s="87">
        <f t="shared" si="28"/>
        <v>0</v>
      </c>
      <c r="S45" s="93">
        <f t="shared" si="29"/>
        <v>0</v>
      </c>
      <c r="T45" s="88">
        <v>0</v>
      </c>
      <c r="U45" s="89">
        <f t="shared" si="30"/>
        <v>0</v>
      </c>
      <c r="V45" s="88">
        <v>0.5</v>
      </c>
      <c r="W45" s="89">
        <f t="shared" si="34"/>
        <v>0</v>
      </c>
      <c r="X45" s="93">
        <f t="shared" si="31"/>
        <v>0</v>
      </c>
      <c r="Y45" s="88">
        <v>0.5</v>
      </c>
      <c r="Z45" s="89">
        <f t="shared" si="17"/>
        <v>0</v>
      </c>
      <c r="AA45" s="93">
        <f t="shared" si="32"/>
        <v>0</v>
      </c>
      <c r="AB45" s="81">
        <f t="shared" si="33"/>
        <v>0</v>
      </c>
      <c r="AC45" s="82">
        <f t="shared" si="18"/>
        <v>1</v>
      </c>
      <c r="AD45" s="159">
        <f t="shared" si="19"/>
        <v>0</v>
      </c>
    </row>
    <row r="46" spans="1:30" x14ac:dyDescent="0.25">
      <c r="A46" s="46" t="s">
        <v>70</v>
      </c>
      <c r="B46" s="90"/>
      <c r="C46" s="91">
        <v>0.1</v>
      </c>
      <c r="D46" s="85">
        <f t="shared" si="20"/>
        <v>0</v>
      </c>
      <c r="E46" s="122">
        <v>0</v>
      </c>
      <c r="F46" s="123">
        <f t="shared" si="21"/>
        <v>0</v>
      </c>
      <c r="G46" s="122">
        <v>0</v>
      </c>
      <c r="H46" s="123">
        <f t="shared" si="22"/>
        <v>0</v>
      </c>
      <c r="I46" s="122">
        <v>0</v>
      </c>
      <c r="J46" s="123">
        <f t="shared" si="23"/>
        <v>0</v>
      </c>
      <c r="K46" s="93">
        <f t="shared" si="24"/>
        <v>0</v>
      </c>
      <c r="L46" s="86">
        <v>0.01</v>
      </c>
      <c r="M46" s="87">
        <f t="shared" si="25"/>
        <v>0</v>
      </c>
      <c r="N46" s="93">
        <f t="shared" si="26"/>
        <v>0</v>
      </c>
      <c r="O46" s="86">
        <v>0.1</v>
      </c>
      <c r="P46" s="87">
        <f t="shared" si="27"/>
        <v>0</v>
      </c>
      <c r="Q46" s="86">
        <v>0.2</v>
      </c>
      <c r="R46" s="87">
        <f t="shared" si="28"/>
        <v>0</v>
      </c>
      <c r="S46" s="93">
        <f t="shared" si="29"/>
        <v>0</v>
      </c>
      <c r="T46" s="88">
        <v>0.1</v>
      </c>
      <c r="U46" s="89">
        <f t="shared" si="30"/>
        <v>0</v>
      </c>
      <c r="V46" s="88">
        <v>0.49</v>
      </c>
      <c r="W46" s="89">
        <f t="shared" si="34"/>
        <v>0</v>
      </c>
      <c r="X46" s="93">
        <f t="shared" si="31"/>
        <v>0</v>
      </c>
      <c r="Y46" s="88">
        <v>0</v>
      </c>
      <c r="Z46" s="89">
        <f t="shared" si="17"/>
        <v>0</v>
      </c>
      <c r="AA46" s="93">
        <f t="shared" si="32"/>
        <v>0</v>
      </c>
      <c r="AB46" s="81">
        <f t="shared" si="33"/>
        <v>0</v>
      </c>
      <c r="AC46" s="82">
        <f t="shared" si="18"/>
        <v>1</v>
      </c>
      <c r="AD46" s="159">
        <f t="shared" si="19"/>
        <v>0</v>
      </c>
    </row>
    <row r="47" spans="1:30" x14ac:dyDescent="0.25">
      <c r="A47" s="46" t="s">
        <v>181</v>
      </c>
      <c r="B47" s="92">
        <f>SUM(B16:B46)</f>
        <v>20650894</v>
      </c>
      <c r="C47" s="44"/>
      <c r="D47" s="93">
        <f>SUM(D16:D46)</f>
        <v>497485</v>
      </c>
      <c r="E47" s="124"/>
      <c r="F47" s="125">
        <f>SUM(F16:F46)</f>
        <v>695004.65</v>
      </c>
      <c r="G47" s="124"/>
      <c r="H47" s="125">
        <f>SUM(H16:H46)</f>
        <v>683844.54999999993</v>
      </c>
      <c r="I47" s="124"/>
      <c r="J47" s="125">
        <f>SUM(J16:J46)</f>
        <v>16728.04</v>
      </c>
      <c r="K47" s="93">
        <f>+J47+H47+F47</f>
        <v>1395577.24</v>
      </c>
      <c r="L47" s="44"/>
      <c r="M47" s="95">
        <f>SUM(M16:M46)</f>
        <v>13232543.050000001</v>
      </c>
      <c r="N47" s="93">
        <f t="shared" si="26"/>
        <v>13232543.050000001</v>
      </c>
      <c r="O47" s="44"/>
      <c r="P47" s="95">
        <f>SUM(P16:P46)</f>
        <v>351258.45</v>
      </c>
      <c r="Q47" s="44"/>
      <c r="R47" s="95">
        <f>SUM(R16:R46)</f>
        <v>1566812.0499999998</v>
      </c>
      <c r="S47" s="93">
        <f t="shared" si="29"/>
        <v>1918070.4999999998</v>
      </c>
      <c r="T47" s="44"/>
      <c r="U47" s="94">
        <f>SUM(U16:U46)</f>
        <v>449832.01</v>
      </c>
      <c r="V47" s="44"/>
      <c r="W47" s="94">
        <f>SUM(W16:W46)</f>
        <v>2555353.23</v>
      </c>
      <c r="X47" s="93">
        <f t="shared" si="31"/>
        <v>3005185.24</v>
      </c>
      <c r="Y47" s="79"/>
      <c r="Z47" s="94">
        <f>SUM(Z16:Z46)</f>
        <v>602032.97</v>
      </c>
      <c r="AA47" s="93">
        <f t="shared" si="32"/>
        <v>602032.97</v>
      </c>
      <c r="AB47" s="81">
        <f t="shared" si="33"/>
        <v>0</v>
      </c>
      <c r="AC47" s="82">
        <f t="shared" si="18"/>
        <v>0</v>
      </c>
      <c r="AD47" s="159">
        <f>SUM(AD16:AD46)</f>
        <v>3915680.71</v>
      </c>
    </row>
    <row r="50" spans="1:29" ht="30" x14ac:dyDescent="0.25">
      <c r="A50" s="71" t="s">
        <v>199</v>
      </c>
      <c r="B50" s="84" t="s">
        <v>180</v>
      </c>
      <c r="C50" s="74" t="s">
        <v>159</v>
      </c>
      <c r="D50" s="71" t="s">
        <v>176</v>
      </c>
      <c r="E50" s="106" t="s">
        <v>200</v>
      </c>
      <c r="F50" s="108" t="s">
        <v>176</v>
      </c>
      <c r="G50" s="80" t="s">
        <v>201</v>
      </c>
      <c r="H50" s="80" t="s">
        <v>202</v>
      </c>
      <c r="I50" s="99"/>
      <c r="J50" s="99"/>
      <c r="K50" s="99"/>
      <c r="L50" s="99"/>
      <c r="M50" s="99"/>
      <c r="N50" s="99"/>
      <c r="O50" s="99"/>
      <c r="P50" s="99"/>
      <c r="Q50" s="100"/>
      <c r="R50" s="100"/>
      <c r="S50" s="100"/>
      <c r="T50" s="99"/>
      <c r="U50" s="99"/>
      <c r="V50" s="100"/>
      <c r="W50" s="100"/>
      <c r="X50" s="100"/>
      <c r="Y50" s="100"/>
      <c r="Z50" s="100"/>
      <c r="AA50" s="100"/>
      <c r="AB50" s="101"/>
      <c r="AC50" s="101"/>
    </row>
    <row r="51" spans="1:29" x14ac:dyDescent="0.25">
      <c r="A51" s="46" t="s">
        <v>204</v>
      </c>
      <c r="B51" s="90">
        <f>721248+6371024</f>
        <v>7092272</v>
      </c>
      <c r="C51" s="91">
        <v>0.5</v>
      </c>
      <c r="D51" s="85">
        <f>+B51*C51</f>
        <v>3546136</v>
      </c>
      <c r="E51" s="107">
        <v>0.5</v>
      </c>
      <c r="F51" s="109">
        <f>+E51*B51</f>
        <v>3546136</v>
      </c>
      <c r="G51" s="110">
        <f>+C51+E51</f>
        <v>1</v>
      </c>
      <c r="H51" s="109">
        <f>+(F51+D51)-B51</f>
        <v>0</v>
      </c>
      <c r="I51" s="103"/>
      <c r="J51" s="102"/>
      <c r="K51" s="102"/>
      <c r="L51" s="103"/>
      <c r="M51" s="102"/>
      <c r="N51" s="102"/>
      <c r="O51" s="103"/>
      <c r="P51" s="102"/>
      <c r="Q51" s="103"/>
      <c r="R51" s="102"/>
      <c r="S51" s="102"/>
      <c r="T51" s="103"/>
      <c r="U51" s="102"/>
      <c r="V51" s="103"/>
      <c r="W51" s="102"/>
      <c r="X51" s="102"/>
      <c r="Y51" s="103"/>
      <c r="Z51" s="102"/>
      <c r="AA51" s="104"/>
      <c r="AB51" s="104"/>
      <c r="AC51" s="105"/>
    </row>
    <row r="52" spans="1:29" x14ac:dyDescent="0.25">
      <c r="A52" s="46" t="s">
        <v>205</v>
      </c>
      <c r="B52" s="90">
        <v>3790055</v>
      </c>
      <c r="C52" s="91">
        <v>0.5</v>
      </c>
      <c r="D52" s="85">
        <f t="shared" ref="D52:D59" si="35">+B52*C52</f>
        <v>1895027.5</v>
      </c>
      <c r="E52" s="107">
        <v>0.5</v>
      </c>
      <c r="F52" s="109">
        <f t="shared" ref="F52:F59" si="36">+E52*B52</f>
        <v>1895027.5</v>
      </c>
      <c r="G52" s="110">
        <f t="shared" ref="G52:G60" si="37">+C52+E52</f>
        <v>1</v>
      </c>
      <c r="H52" s="109">
        <f t="shared" ref="H52:H60" si="38">+(F52+D52)-B52</f>
        <v>0</v>
      </c>
      <c r="I52" s="103"/>
      <c r="J52" s="102"/>
      <c r="K52" s="102"/>
      <c r="L52" s="103"/>
      <c r="M52" s="102"/>
      <c r="N52" s="102"/>
      <c r="O52" s="103"/>
      <c r="P52" s="102"/>
      <c r="Q52" s="103"/>
      <c r="R52" s="102"/>
      <c r="S52" s="102"/>
      <c r="T52" s="103"/>
      <c r="U52" s="102"/>
      <c r="V52" s="103"/>
      <c r="W52" s="102"/>
      <c r="X52" s="102"/>
      <c r="Y52" s="103"/>
      <c r="Z52" s="102"/>
      <c r="AA52" s="104"/>
      <c r="AB52" s="104"/>
      <c r="AC52" s="105"/>
    </row>
    <row r="53" spans="1:29" x14ac:dyDescent="0.25">
      <c r="A53" s="46" t="s">
        <v>206</v>
      </c>
      <c r="B53" s="90">
        <v>4341600</v>
      </c>
      <c r="C53" s="91">
        <v>0.5</v>
      </c>
      <c r="D53" s="85">
        <f t="shared" si="35"/>
        <v>2170800</v>
      </c>
      <c r="E53" s="107">
        <v>0.5</v>
      </c>
      <c r="F53" s="109">
        <f t="shared" si="36"/>
        <v>2170800</v>
      </c>
      <c r="G53" s="110">
        <f t="shared" si="37"/>
        <v>1</v>
      </c>
      <c r="H53" s="109">
        <f t="shared" si="38"/>
        <v>0</v>
      </c>
      <c r="I53" s="103"/>
      <c r="J53" s="102"/>
      <c r="K53" s="102"/>
      <c r="L53" s="103"/>
      <c r="M53" s="102"/>
      <c r="N53" s="102"/>
      <c r="O53" s="103"/>
      <c r="P53" s="102"/>
      <c r="Q53" s="103"/>
      <c r="R53" s="102"/>
      <c r="S53" s="102"/>
      <c r="T53" s="103"/>
      <c r="U53" s="102"/>
      <c r="V53" s="103"/>
      <c r="W53" s="102"/>
      <c r="X53" s="102"/>
      <c r="Y53" s="103"/>
      <c r="Z53" s="102"/>
      <c r="AA53" s="104"/>
      <c r="AB53" s="104"/>
      <c r="AC53" s="105"/>
    </row>
    <row r="54" spans="1:29" x14ac:dyDescent="0.25">
      <c r="A54" s="46" t="s">
        <v>209</v>
      </c>
      <c r="B54" s="90"/>
      <c r="C54" s="91">
        <v>0.5</v>
      </c>
      <c r="D54" s="85">
        <f t="shared" si="35"/>
        <v>0</v>
      </c>
      <c r="E54" s="107">
        <v>0.5</v>
      </c>
      <c r="F54" s="109">
        <f t="shared" si="36"/>
        <v>0</v>
      </c>
      <c r="G54" s="110">
        <f t="shared" si="37"/>
        <v>1</v>
      </c>
      <c r="H54" s="109">
        <f t="shared" si="38"/>
        <v>0</v>
      </c>
      <c r="I54" s="103"/>
      <c r="J54" s="102"/>
      <c r="K54" s="102"/>
      <c r="L54" s="103"/>
      <c r="M54" s="102"/>
      <c r="N54" s="102"/>
      <c r="O54" s="103"/>
      <c r="P54" s="102"/>
      <c r="Q54" s="103"/>
      <c r="R54" s="102"/>
      <c r="S54" s="102"/>
      <c r="T54" s="103"/>
      <c r="U54" s="102"/>
      <c r="V54" s="103"/>
      <c r="W54" s="102"/>
      <c r="X54" s="102"/>
      <c r="Y54" s="103"/>
      <c r="Z54" s="102"/>
      <c r="AA54" s="104"/>
      <c r="AB54" s="104"/>
      <c r="AC54" s="105"/>
    </row>
    <row r="55" spans="1:29" x14ac:dyDescent="0.25">
      <c r="A55" s="46" t="s">
        <v>210</v>
      </c>
      <c r="B55" s="90">
        <v>470000</v>
      </c>
      <c r="C55" s="91">
        <v>0.5</v>
      </c>
      <c r="D55" s="85">
        <f t="shared" si="35"/>
        <v>235000</v>
      </c>
      <c r="E55" s="107">
        <v>0.5</v>
      </c>
      <c r="F55" s="109">
        <f t="shared" si="36"/>
        <v>235000</v>
      </c>
      <c r="G55" s="110">
        <f t="shared" si="37"/>
        <v>1</v>
      </c>
      <c r="H55" s="109">
        <f t="shared" si="38"/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29" x14ac:dyDescent="0.25">
      <c r="A56" s="46" t="s">
        <v>207</v>
      </c>
      <c r="B56" s="90"/>
      <c r="C56" s="91">
        <v>0.5</v>
      </c>
      <c r="D56" s="85">
        <f t="shared" si="35"/>
        <v>0</v>
      </c>
      <c r="E56" s="107">
        <v>0.5</v>
      </c>
      <c r="F56" s="109">
        <f t="shared" si="36"/>
        <v>0</v>
      </c>
      <c r="G56" s="110">
        <f t="shared" si="37"/>
        <v>1</v>
      </c>
      <c r="H56" s="109">
        <f t="shared" si="38"/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29" x14ac:dyDescent="0.25">
      <c r="A57" s="46" t="s">
        <v>332</v>
      </c>
      <c r="B57" s="90">
        <v>1500000</v>
      </c>
      <c r="C57" s="91">
        <v>0.5</v>
      </c>
      <c r="D57" s="85">
        <f t="shared" si="35"/>
        <v>750000</v>
      </c>
      <c r="E57" s="107">
        <v>0.5</v>
      </c>
      <c r="F57" s="109">
        <f t="shared" si="36"/>
        <v>750000</v>
      </c>
      <c r="G57" s="110">
        <f t="shared" si="37"/>
        <v>1</v>
      </c>
      <c r="H57" s="109"/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29" x14ac:dyDescent="0.25">
      <c r="A58" s="46" t="s">
        <v>208</v>
      </c>
      <c r="B58" s="90"/>
      <c r="C58" s="91">
        <v>0.5</v>
      </c>
      <c r="D58" s="85">
        <f t="shared" si="35"/>
        <v>0</v>
      </c>
      <c r="E58" s="107">
        <v>0.5</v>
      </c>
      <c r="F58" s="109">
        <f t="shared" si="36"/>
        <v>0</v>
      </c>
      <c r="G58" s="110">
        <f t="shared" si="37"/>
        <v>1</v>
      </c>
      <c r="H58" s="109">
        <f t="shared" si="38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29" x14ac:dyDescent="0.25">
      <c r="A59" s="46" t="s">
        <v>70</v>
      </c>
      <c r="B59" s="90">
        <v>325231</v>
      </c>
      <c r="C59" s="91">
        <v>0.5</v>
      </c>
      <c r="D59" s="85">
        <f t="shared" si="35"/>
        <v>162615.5</v>
      </c>
      <c r="E59" s="107">
        <v>0.5</v>
      </c>
      <c r="F59" s="109">
        <f t="shared" si="36"/>
        <v>162615.5</v>
      </c>
      <c r="G59" s="110">
        <f t="shared" si="37"/>
        <v>1</v>
      </c>
      <c r="H59" s="109">
        <f t="shared" si="38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0" spans="1:29" x14ac:dyDescent="0.25">
      <c r="A60" s="115" t="s">
        <v>203</v>
      </c>
      <c r="B60" s="111">
        <f>SUM(B51:B59)</f>
        <v>17519158</v>
      </c>
      <c r="C60" s="91"/>
      <c r="D60" s="93">
        <f>SUM(D51:D59)</f>
        <v>8759579</v>
      </c>
      <c r="E60" s="107"/>
      <c r="F60" s="112">
        <f>SUM(F51:F59)</f>
        <v>8759579</v>
      </c>
      <c r="G60" s="110">
        <f t="shared" si="37"/>
        <v>0</v>
      </c>
      <c r="H60" s="109">
        <f t="shared" si="38"/>
        <v>0</v>
      </c>
      <c r="I60" s="103"/>
      <c r="J60" s="102"/>
      <c r="K60" s="102"/>
      <c r="L60" s="103"/>
      <c r="M60" s="102"/>
      <c r="N60" s="102"/>
      <c r="O60" s="103"/>
      <c r="P60" s="102"/>
      <c r="Q60" s="103"/>
      <c r="R60" s="102"/>
      <c r="S60" s="102"/>
      <c r="T60" s="103"/>
      <c r="U60" s="102"/>
      <c r="V60" s="103"/>
      <c r="W60" s="102"/>
      <c r="X60" s="102"/>
      <c r="Y60" s="103"/>
      <c r="Z60" s="102"/>
      <c r="AA60" s="104"/>
      <c r="AB60" s="104"/>
      <c r="AC60" s="105"/>
    </row>
    <row r="62" spans="1:29" x14ac:dyDescent="0.25">
      <c r="A62" s="116" t="s">
        <v>211</v>
      </c>
      <c r="B62" s="117">
        <f>+B12+B47+B60</f>
        <v>58943531.600000001</v>
      </c>
    </row>
    <row r="64" spans="1:29" x14ac:dyDescent="0.25">
      <c r="A64" s="51" t="s">
        <v>10</v>
      </c>
      <c r="B64" s="52">
        <f>+D12+D47</f>
        <v>5770616.2000000002</v>
      </c>
    </row>
    <row r="65" spans="1:2" x14ac:dyDescent="0.25">
      <c r="A65" s="51" t="s">
        <v>228</v>
      </c>
      <c r="B65" s="52">
        <f>+B60+K12+K47</f>
        <v>28793704.719999999</v>
      </c>
    </row>
    <row r="66" spans="1:2" x14ac:dyDescent="0.25">
      <c r="A66" s="51" t="s">
        <v>227</v>
      </c>
      <c r="B66" s="52">
        <f>+S12+S47</f>
        <v>2994742.1599999997</v>
      </c>
    </row>
    <row r="67" spans="1:2" x14ac:dyDescent="0.25">
      <c r="A67" s="51" t="s">
        <v>212</v>
      </c>
      <c r="B67" s="52">
        <f>+AA12+AA47</f>
        <v>1908688.97</v>
      </c>
    </row>
    <row r="68" spans="1:2" x14ac:dyDescent="0.25">
      <c r="A68" s="116" t="s">
        <v>211</v>
      </c>
      <c r="B68" s="117">
        <f>SUM(B64:B67)</f>
        <v>39467752.049999997</v>
      </c>
    </row>
    <row r="69" spans="1:2" hidden="1" x14ac:dyDescent="0.25">
      <c r="A69" s="113" t="s">
        <v>196</v>
      </c>
      <c r="B69" s="114">
        <f>+B62-B68</f>
        <v>19475779.550000004</v>
      </c>
    </row>
  </sheetData>
  <mergeCells count="12">
    <mergeCell ref="AB2:AC2"/>
    <mergeCell ref="E3:F3"/>
    <mergeCell ref="G3:H3"/>
    <mergeCell ref="I3:J3"/>
    <mergeCell ref="L3:M3"/>
    <mergeCell ref="O3:P3"/>
    <mergeCell ref="A1:W1"/>
    <mergeCell ref="A2:B2"/>
    <mergeCell ref="C2:D2"/>
    <mergeCell ref="E2:K2"/>
    <mergeCell ref="L2:S2"/>
    <mergeCell ref="T2:AA2"/>
  </mergeCells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A9C8E-91CF-451D-9DAE-E7E56D1189DE}">
  <dimension ref="A1:AE71"/>
  <sheetViews>
    <sheetView topLeftCell="A4" zoomScale="98" zoomScaleNormal="98" workbookViewId="0">
      <selection activeCell="W16" sqref="W16:W46"/>
    </sheetView>
  </sheetViews>
  <sheetFormatPr baseColWidth="10" defaultRowHeight="15" x14ac:dyDescent="0.25"/>
  <cols>
    <col min="1" max="1" width="40.42578125" customWidth="1"/>
    <col min="2" max="2" width="16.5703125" customWidth="1"/>
    <col min="3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4" width="14.710937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1" max="21" width="11.5703125" customWidth="1"/>
    <col min="22" max="22" width="13.7109375" customWidth="1"/>
    <col min="24" max="24" width="14" customWidth="1"/>
    <col min="25" max="25" width="12.85546875" customWidth="1"/>
    <col min="26" max="26" width="12.28515625" customWidth="1"/>
    <col min="27" max="27" width="15.140625" customWidth="1"/>
  </cols>
  <sheetData>
    <row r="1" spans="1:31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1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1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33" t="s">
        <v>96</v>
      </c>
      <c r="P3" s="334"/>
      <c r="Q3" s="72" t="s">
        <v>97</v>
      </c>
      <c r="R3" s="72"/>
      <c r="S3" s="69" t="s">
        <v>224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100</v>
      </c>
      <c r="AB3" s="97"/>
      <c r="AC3" s="97"/>
    </row>
    <row r="4" spans="1:31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300</v>
      </c>
      <c r="O4" s="75" t="s">
        <v>162</v>
      </c>
      <c r="P4" s="75" t="s">
        <v>176</v>
      </c>
      <c r="Q4" s="76" t="s">
        <v>163</v>
      </c>
      <c r="R4" s="76" t="s">
        <v>176</v>
      </c>
      <c r="S4" s="71" t="s">
        <v>171</v>
      </c>
      <c r="T4" s="77" t="s">
        <v>164</v>
      </c>
      <c r="U4" s="77" t="s">
        <v>176</v>
      </c>
      <c r="V4" s="78" t="s">
        <v>165</v>
      </c>
      <c r="W4" s="78" t="s">
        <v>176</v>
      </c>
      <c r="X4" s="71" t="s">
        <v>301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1" x14ac:dyDescent="0.25">
      <c r="A5" s="46" t="s">
        <v>67</v>
      </c>
      <c r="B5" s="90">
        <f>+' NOMINAS ENE-DIC'!I81+' NOMINAS ENE-DIC'!I91</f>
        <v>6377784</v>
      </c>
      <c r="C5" s="91">
        <f>+'%'!B4</f>
        <v>0.35</v>
      </c>
      <c r="D5" s="93">
        <f t="shared" ref="D5:D11" si="0">+B5*C5</f>
        <v>2232224.4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63777.840000000004</v>
      </c>
      <c r="N5" s="93">
        <f>+M5</f>
        <v>63777.840000000004</v>
      </c>
      <c r="O5" s="86">
        <f>+'%'!G4</f>
        <v>0.02</v>
      </c>
      <c r="P5" s="87">
        <f t="shared" ref="P5:P11" si="6">+O5*B5</f>
        <v>127555.68000000001</v>
      </c>
      <c r="Q5" s="86">
        <f>+'%'!H4</f>
        <v>0.05</v>
      </c>
      <c r="R5" s="87">
        <f t="shared" ref="R5:R11" si="7">+Q5*B5</f>
        <v>318889.2</v>
      </c>
      <c r="S5" s="93">
        <f>+P5+R5</f>
        <v>446444.88</v>
      </c>
      <c r="T5" s="88">
        <f>+'%'!I4</f>
        <v>0.2</v>
      </c>
      <c r="U5" s="89">
        <f t="shared" ref="U5:U11" si="8">+T5*B5</f>
        <v>1275556.8</v>
      </c>
      <c r="V5" s="88">
        <f>+'%'!J4</f>
        <v>0.27</v>
      </c>
      <c r="W5" s="89">
        <f t="shared" ref="W5:W11" si="9">+V5*B5</f>
        <v>1722001.6800000002</v>
      </c>
      <c r="X5" s="93">
        <f>+U5+W5</f>
        <v>2997558.4800000004</v>
      </c>
      <c r="Y5" s="88">
        <f>+'%'!K4</f>
        <v>0.1</v>
      </c>
      <c r="Z5" s="89">
        <f t="shared" ref="Z5:Z11" si="10">+Y5*B5</f>
        <v>637778.4</v>
      </c>
      <c r="AA5" s="93">
        <f>+Z5</f>
        <v>637778.4</v>
      </c>
      <c r="AB5" s="81">
        <f>+(D5+K5+N5+S5+X5+AA5)-B5</f>
        <v>0</v>
      </c>
      <c r="AC5" s="82">
        <f t="shared" ref="AC5:AC12" si="11">+C5+E5+G5+I5+L5+O5+Q5+T5+V5+Y5</f>
        <v>1</v>
      </c>
      <c r="AE5" s="162"/>
    </row>
    <row r="6" spans="1:31" x14ac:dyDescent="0.25">
      <c r="A6" s="46" t="s">
        <v>74</v>
      </c>
      <c r="B6" s="90">
        <f>+' NOMINAS ENE-DIC'!I83+' NOMINAS ENE-DIC'!I93</f>
        <v>4445798.2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1778319.2800000003</v>
      </c>
      <c r="G6" s="122">
        <f>+'%'!D5</f>
        <v>0.6</v>
      </c>
      <c r="H6" s="123">
        <f t="shared" si="2"/>
        <v>2667478.92</v>
      </c>
      <c r="I6" s="122">
        <f>+'%'!E5</f>
        <v>0</v>
      </c>
      <c r="J6" s="123">
        <f t="shared" si="3"/>
        <v>0</v>
      </c>
      <c r="K6" s="93">
        <f t="shared" si="4"/>
        <v>4445798.2</v>
      </c>
      <c r="L6" s="86">
        <f>+'%'!F5</f>
        <v>0</v>
      </c>
      <c r="M6" s="87">
        <f t="shared" si="5"/>
        <v>0</v>
      </c>
      <c r="N6" s="93">
        <f t="shared" ref="N6:N12" si="12">+M6</f>
        <v>0</v>
      </c>
      <c r="O6" s="86">
        <f>+'%'!G5</f>
        <v>0</v>
      </c>
      <c r="P6" s="87">
        <f t="shared" si="6"/>
        <v>0</v>
      </c>
      <c r="Q6" s="86">
        <f>+'%'!H5</f>
        <v>0</v>
      </c>
      <c r="R6" s="87">
        <f t="shared" si="7"/>
        <v>0</v>
      </c>
      <c r="S6" s="93">
        <f t="shared" ref="S6:S12" si="13">+P6+R6</f>
        <v>0</v>
      </c>
      <c r="T6" s="88">
        <f>+'%'!I5</f>
        <v>0</v>
      </c>
      <c r="U6" s="89">
        <f t="shared" si="8"/>
        <v>0</v>
      </c>
      <c r="V6" s="88">
        <f>+'%'!J5</f>
        <v>0</v>
      </c>
      <c r="W6" s="89">
        <f t="shared" si="9"/>
        <v>0</v>
      </c>
      <c r="X6" s="93">
        <f t="shared" ref="X6:X12" si="14">+U6+W6</f>
        <v>0</v>
      </c>
      <c r="Y6" s="88">
        <f>+'%'!K5</f>
        <v>0</v>
      </c>
      <c r="Z6" s="89">
        <f t="shared" si="10"/>
        <v>0</v>
      </c>
      <c r="AA6" s="93">
        <f t="shared" ref="AA6:AA12" si="15">+Z6</f>
        <v>0</v>
      </c>
      <c r="AB6" s="81">
        <f t="shared" ref="AB6:AB12" si="16">+(D6+K6+N6+S6+X6+AA6)-B6</f>
        <v>0</v>
      </c>
      <c r="AC6" s="82">
        <f t="shared" si="11"/>
        <v>1</v>
      </c>
      <c r="AE6" s="162"/>
    </row>
    <row r="7" spans="1:31" x14ac:dyDescent="0.25">
      <c r="A7" s="46" t="s">
        <v>109</v>
      </c>
      <c r="B7" s="90">
        <f>+' NOMINAS ENE-DIC'!I80+' NOMINAS ENE-DIC'!I90</f>
        <v>4443798.2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1110949.55</v>
      </c>
      <c r="G7" s="122">
        <f>+'%'!D7</f>
        <v>0.45</v>
      </c>
      <c r="H7" s="123">
        <f t="shared" si="2"/>
        <v>1999709.1900000002</v>
      </c>
      <c r="I7" s="122">
        <f>+'%'!E7</f>
        <v>0.2</v>
      </c>
      <c r="J7" s="123">
        <f t="shared" si="3"/>
        <v>888759.64000000013</v>
      </c>
      <c r="K7" s="93">
        <f t="shared" si="4"/>
        <v>3999418.3800000004</v>
      </c>
      <c r="L7" s="86">
        <f>+'%'!F7</f>
        <v>0</v>
      </c>
      <c r="M7" s="87">
        <f t="shared" si="5"/>
        <v>0</v>
      </c>
      <c r="N7" s="93">
        <f t="shared" si="12"/>
        <v>0</v>
      </c>
      <c r="O7" s="86">
        <f>+'%'!G7</f>
        <v>0</v>
      </c>
      <c r="P7" s="87">
        <f t="shared" si="6"/>
        <v>0</v>
      </c>
      <c r="Q7" s="86">
        <f>+'%'!H7</f>
        <v>0.05</v>
      </c>
      <c r="R7" s="87">
        <f t="shared" si="7"/>
        <v>222189.91000000003</v>
      </c>
      <c r="S7" s="93">
        <f t="shared" si="13"/>
        <v>222189.91000000003</v>
      </c>
      <c r="T7" s="88">
        <f>+'%'!I7</f>
        <v>0</v>
      </c>
      <c r="U7" s="89">
        <v>0</v>
      </c>
      <c r="V7" s="88">
        <f>+'%'!J7</f>
        <v>0.05</v>
      </c>
      <c r="W7" s="89">
        <f t="shared" si="9"/>
        <v>222189.91000000003</v>
      </c>
      <c r="X7" s="93">
        <f t="shared" si="14"/>
        <v>222189.91000000003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  <c r="AE7" s="162"/>
    </row>
    <row r="8" spans="1:31" x14ac:dyDescent="0.25">
      <c r="A8" s="46" t="s">
        <v>266</v>
      </c>
      <c r="B8" s="90">
        <f>+' NOMINAS ENE-DIC'!I82+' NOMINAS ENE-DIC'!I92</f>
        <v>2162285.2000000002</v>
      </c>
      <c r="C8" s="91">
        <v>1</v>
      </c>
      <c r="D8" s="93">
        <f t="shared" si="0"/>
        <v>2162285.2000000002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86">
        <v>0</v>
      </c>
      <c r="P8" s="87">
        <f t="shared" si="6"/>
        <v>0</v>
      </c>
      <c r="Q8" s="86">
        <v>0</v>
      </c>
      <c r="R8" s="87">
        <f t="shared" si="7"/>
        <v>0</v>
      </c>
      <c r="S8" s="93">
        <f t="shared" si="13"/>
        <v>0</v>
      </c>
      <c r="T8" s="88">
        <v>0</v>
      </c>
      <c r="U8" s="89">
        <v>0</v>
      </c>
      <c r="V8" s="88">
        <v>0</v>
      </c>
      <c r="W8" s="8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1" x14ac:dyDescent="0.25">
      <c r="A9" s="46" t="s">
        <v>184</v>
      </c>
      <c r="B9" s="90">
        <f>+' NOMINAS ENE-DIC'!B99</f>
        <v>4664000</v>
      </c>
      <c r="C9" s="91">
        <f>+'%'!B8</f>
        <v>0.2</v>
      </c>
      <c r="D9" s="93">
        <f t="shared" si="0"/>
        <v>932800</v>
      </c>
      <c r="E9" s="122">
        <f>+'%'!C8</f>
        <v>0.1</v>
      </c>
      <c r="F9" s="123">
        <f t="shared" si="1"/>
        <v>466400</v>
      </c>
      <c r="G9" s="122">
        <f>+'%'!D8</f>
        <v>0.3</v>
      </c>
      <c r="H9" s="123">
        <f t="shared" si="2"/>
        <v>1399200</v>
      </c>
      <c r="I9" s="122">
        <f>+'%'!E8</f>
        <v>0.1</v>
      </c>
      <c r="J9" s="123">
        <f t="shared" si="3"/>
        <v>466400</v>
      </c>
      <c r="K9" s="93">
        <f t="shared" si="4"/>
        <v>2332000</v>
      </c>
      <c r="L9" s="86">
        <f>+'%'!F8</f>
        <v>0</v>
      </c>
      <c r="M9" s="87">
        <f t="shared" si="5"/>
        <v>0</v>
      </c>
      <c r="N9" s="93">
        <f t="shared" si="12"/>
        <v>0</v>
      </c>
      <c r="O9" s="86">
        <v>0.02</v>
      </c>
      <c r="P9" s="87">
        <f t="shared" si="6"/>
        <v>93280</v>
      </c>
      <c r="Q9" s="86">
        <f>+'%'!H8</f>
        <v>0.05</v>
      </c>
      <c r="R9" s="87">
        <f t="shared" si="7"/>
        <v>233200</v>
      </c>
      <c r="S9" s="93">
        <f t="shared" si="13"/>
        <v>326480</v>
      </c>
      <c r="T9" s="88">
        <f>+'%'!I8</f>
        <v>0</v>
      </c>
      <c r="U9" s="89">
        <v>0</v>
      </c>
      <c r="V9" s="88">
        <f>+'%'!J8</f>
        <v>0.1</v>
      </c>
      <c r="W9" s="89">
        <f t="shared" si="9"/>
        <v>466400</v>
      </c>
      <c r="X9" s="93">
        <f t="shared" si="14"/>
        <v>466400</v>
      </c>
      <c r="Y9" s="88">
        <v>0.13</v>
      </c>
      <c r="Z9" s="89">
        <f t="shared" si="10"/>
        <v>606320</v>
      </c>
      <c r="AA9" s="93">
        <f t="shared" si="15"/>
        <v>606320</v>
      </c>
      <c r="AB9" s="81">
        <f t="shared" si="16"/>
        <v>0</v>
      </c>
      <c r="AC9" s="82">
        <f t="shared" si="11"/>
        <v>1</v>
      </c>
      <c r="AE9" s="162"/>
    </row>
    <row r="10" spans="1:31" x14ac:dyDescent="0.25">
      <c r="A10" s="46" t="s">
        <v>51</v>
      </c>
      <c r="B10" s="90">
        <f>+' NOMINAS ENE-DIC'!D100</f>
        <v>0</v>
      </c>
      <c r="C10" s="91">
        <f>+'%'!B8</f>
        <v>0.2</v>
      </c>
      <c r="D10" s="93">
        <f t="shared" si="0"/>
        <v>0</v>
      </c>
      <c r="E10" s="122">
        <f>+'%'!C8</f>
        <v>0.1</v>
      </c>
      <c r="F10" s="123">
        <f t="shared" si="1"/>
        <v>0</v>
      </c>
      <c r="G10" s="122">
        <f>+'%'!D8</f>
        <v>0.3</v>
      </c>
      <c r="H10" s="123">
        <f t="shared" si="2"/>
        <v>0</v>
      </c>
      <c r="I10" s="122">
        <f>+'%'!E8</f>
        <v>0.1</v>
      </c>
      <c r="J10" s="123">
        <f t="shared" si="3"/>
        <v>0</v>
      </c>
      <c r="K10" s="93">
        <f t="shared" si="4"/>
        <v>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86">
        <v>0.02</v>
      </c>
      <c r="P10" s="87">
        <f t="shared" si="6"/>
        <v>0</v>
      </c>
      <c r="Q10" s="86">
        <f>+'%'!H8</f>
        <v>0.05</v>
      </c>
      <c r="R10" s="87">
        <f t="shared" si="7"/>
        <v>0</v>
      </c>
      <c r="S10" s="93">
        <f t="shared" si="13"/>
        <v>0</v>
      </c>
      <c r="T10" s="88">
        <f>+'%'!I8</f>
        <v>0</v>
      </c>
      <c r="U10" s="89">
        <f t="shared" si="8"/>
        <v>0</v>
      </c>
      <c r="V10" s="88">
        <f>+'%'!J8</f>
        <v>0.1</v>
      </c>
      <c r="W10" s="89">
        <f t="shared" si="9"/>
        <v>0</v>
      </c>
      <c r="X10" s="93">
        <f t="shared" si="14"/>
        <v>0</v>
      </c>
      <c r="Y10" s="88">
        <v>0.13</v>
      </c>
      <c r="Z10" s="89">
        <f t="shared" si="10"/>
        <v>0</v>
      </c>
      <c r="AA10" s="93">
        <f t="shared" si="15"/>
        <v>0</v>
      </c>
      <c r="AB10" s="81">
        <f t="shared" si="16"/>
        <v>0</v>
      </c>
      <c r="AC10" s="82">
        <f t="shared" si="11"/>
        <v>1</v>
      </c>
      <c r="AE10" s="162"/>
    </row>
    <row r="11" spans="1:31" x14ac:dyDescent="0.25">
      <c r="A11" s="46" t="s">
        <v>185</v>
      </c>
      <c r="B11" s="90">
        <f>+' NOMINAS ENE-DIC'!D98</f>
        <v>1050000</v>
      </c>
      <c r="C11" s="91">
        <f>+'%'!B9</f>
        <v>0.2</v>
      </c>
      <c r="D11" s="93">
        <f t="shared" si="0"/>
        <v>210000</v>
      </c>
      <c r="E11" s="122">
        <f>+'%'!C9</f>
        <v>0.1</v>
      </c>
      <c r="F11" s="123">
        <f t="shared" si="1"/>
        <v>105000</v>
      </c>
      <c r="G11" s="122">
        <f>+'%'!D9</f>
        <v>0.2</v>
      </c>
      <c r="H11" s="123">
        <f t="shared" si="2"/>
        <v>210000</v>
      </c>
      <c r="I11" s="122">
        <f>+'%'!E9</f>
        <v>0.15</v>
      </c>
      <c r="J11" s="123">
        <f t="shared" si="3"/>
        <v>157500</v>
      </c>
      <c r="K11" s="93">
        <f t="shared" si="4"/>
        <v>472500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86">
        <v>0.02</v>
      </c>
      <c r="P11" s="87">
        <f t="shared" si="6"/>
        <v>21000</v>
      </c>
      <c r="Q11" s="86">
        <f>+'%'!H9</f>
        <v>0.1</v>
      </c>
      <c r="R11" s="87">
        <f t="shared" si="7"/>
        <v>105000</v>
      </c>
      <c r="S11" s="93">
        <f t="shared" si="13"/>
        <v>126000</v>
      </c>
      <c r="T11" s="88">
        <f>+'%'!I9</f>
        <v>0</v>
      </c>
      <c r="U11" s="89">
        <f t="shared" si="8"/>
        <v>0</v>
      </c>
      <c r="V11" s="88">
        <f>+'%'!J9</f>
        <v>0.2</v>
      </c>
      <c r="W11" s="89">
        <f t="shared" si="9"/>
        <v>210000</v>
      </c>
      <c r="X11" s="93">
        <f t="shared" si="14"/>
        <v>210000</v>
      </c>
      <c r="Y11" s="88">
        <v>0.03</v>
      </c>
      <c r="Z11" s="89">
        <f t="shared" si="10"/>
        <v>31500</v>
      </c>
      <c r="AA11" s="93">
        <f t="shared" si="15"/>
        <v>31500</v>
      </c>
      <c r="AB11" s="81">
        <f t="shared" si="16"/>
        <v>0</v>
      </c>
      <c r="AC11" s="82">
        <f t="shared" si="11"/>
        <v>1</v>
      </c>
      <c r="AE11" s="162"/>
    </row>
    <row r="12" spans="1:31" x14ac:dyDescent="0.25">
      <c r="A12" s="46" t="s">
        <v>181</v>
      </c>
      <c r="B12" s="92">
        <f>SUM(B5:B11)</f>
        <v>23143665.599999998</v>
      </c>
      <c r="C12" s="44"/>
      <c r="D12" s="93">
        <f>SUM(D5:D11)</f>
        <v>5537309.5999999996</v>
      </c>
      <c r="E12" s="124"/>
      <c r="F12" s="125">
        <f>SUM(F5:F11)</f>
        <v>3460668.83</v>
      </c>
      <c r="G12" s="124"/>
      <c r="H12" s="125">
        <f>SUM(H5:H11)</f>
        <v>6276388.1100000003</v>
      </c>
      <c r="I12" s="124"/>
      <c r="J12" s="125">
        <f>SUM(J5:J11)</f>
        <v>1512659.6400000001</v>
      </c>
      <c r="K12" s="93">
        <f>SUM(K5:K11)</f>
        <v>11249716.58</v>
      </c>
      <c r="L12" s="44"/>
      <c r="M12" s="95">
        <f>SUM(M5:M11)</f>
        <v>63777.840000000004</v>
      </c>
      <c r="N12" s="93">
        <f t="shared" si="12"/>
        <v>63777.840000000004</v>
      </c>
      <c r="O12" s="44"/>
      <c r="P12" s="95">
        <f>SUM(P5:P11)</f>
        <v>241835.68</v>
      </c>
      <c r="Q12" s="44"/>
      <c r="R12" s="95">
        <f>SUM(R5:R11)</f>
        <v>879279.1100000001</v>
      </c>
      <c r="S12" s="93">
        <f t="shared" si="13"/>
        <v>1121114.79</v>
      </c>
      <c r="T12" s="44"/>
      <c r="U12" s="94">
        <f>SUM(U5:U11)</f>
        <v>1275556.8</v>
      </c>
      <c r="V12" s="44"/>
      <c r="W12" s="94">
        <f>SUM(W5:W11)</f>
        <v>2620591.5900000003</v>
      </c>
      <c r="X12" s="93">
        <f t="shared" si="14"/>
        <v>3896148.3900000006</v>
      </c>
      <c r="Y12" s="79"/>
      <c r="Z12" s="94">
        <f>SUM(Z5:Z11)</f>
        <v>1275598.3999999999</v>
      </c>
      <c r="AA12" s="93">
        <f t="shared" si="15"/>
        <v>1275598.3999999999</v>
      </c>
      <c r="AB12" s="81">
        <f t="shared" si="16"/>
        <v>0</v>
      </c>
      <c r="AC12" s="82">
        <f t="shared" si="11"/>
        <v>0</v>
      </c>
    </row>
    <row r="15" spans="1:31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300</v>
      </c>
      <c r="O15" s="75" t="s">
        <v>162</v>
      </c>
      <c r="P15" s="75" t="s">
        <v>176</v>
      </c>
      <c r="Q15" s="76" t="s">
        <v>163</v>
      </c>
      <c r="R15" s="76" t="s">
        <v>176</v>
      </c>
      <c r="S15" s="71" t="s">
        <v>171</v>
      </c>
      <c r="T15" s="77" t="s">
        <v>164</v>
      </c>
      <c r="U15" s="77" t="s">
        <v>176</v>
      </c>
      <c r="V15" s="78" t="s">
        <v>165</v>
      </c>
      <c r="W15" s="78" t="s">
        <v>176</v>
      </c>
      <c r="X15" s="71" t="s">
        <v>301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1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86">
        <v>0.03</v>
      </c>
      <c r="P16" s="87">
        <f>+O16*B16</f>
        <v>39340.799999999996</v>
      </c>
      <c r="Q16" s="86">
        <v>0.05</v>
      </c>
      <c r="R16" s="87">
        <f>+Q16*B16</f>
        <v>65568</v>
      </c>
      <c r="S16" s="93">
        <f>+P16+R16</f>
        <v>104908.79999999999</v>
      </c>
      <c r="T16" s="88">
        <v>0.15</v>
      </c>
      <c r="U16" s="89">
        <f>+T16*B16</f>
        <v>196704</v>
      </c>
      <c r="V16" s="88">
        <v>0.45</v>
      </c>
      <c r="W16" s="89">
        <f>+V16*B16</f>
        <v>590112</v>
      </c>
      <c r="X16" s="93">
        <f>+U16+W16</f>
        <v>786816</v>
      </c>
      <c r="Y16" s="88">
        <v>0</v>
      </c>
      <c r="Z16" s="89">
        <f t="shared" ref="Z16:Z49" si="17">+Y16*B16</f>
        <v>0</v>
      </c>
      <c r="AA16" s="93">
        <f>+Z16</f>
        <v>0</v>
      </c>
      <c r="AB16" s="81">
        <f>+(D16+K16+N16+S16+X16+AA16)-B16</f>
        <v>0</v>
      </c>
      <c r="AC16" s="82">
        <f>+C16+E16+G16+I16+L16+O16+Q16+T16+V16+Y16</f>
        <v>1</v>
      </c>
      <c r="AD16" s="159">
        <f t="shared" ref="AD16:AD49" si="18">+AA16+S16+K16</f>
        <v>380294.39999999997</v>
      </c>
    </row>
    <row r="17" spans="1:30" x14ac:dyDescent="0.25">
      <c r="A17" s="46" t="s">
        <v>81</v>
      </c>
      <c r="B17" s="90"/>
      <c r="C17" s="91">
        <v>0</v>
      </c>
      <c r="D17" s="85">
        <f t="shared" ref="D17:D49" si="19">+B17*C17</f>
        <v>0</v>
      </c>
      <c r="E17" s="122">
        <v>0.6</v>
      </c>
      <c r="F17" s="123">
        <f t="shared" ref="F17:F49" si="20">+B17*E17</f>
        <v>0</v>
      </c>
      <c r="G17" s="122">
        <v>0.4</v>
      </c>
      <c r="H17" s="123">
        <f t="shared" ref="H17:H49" si="21">+B17*G17</f>
        <v>0</v>
      </c>
      <c r="I17" s="122">
        <v>0</v>
      </c>
      <c r="J17" s="123">
        <f t="shared" ref="J17:J49" si="22">+B17*I17</f>
        <v>0</v>
      </c>
      <c r="K17" s="93">
        <f t="shared" ref="K17:K49" si="23">+F17+H17+J17</f>
        <v>0</v>
      </c>
      <c r="L17" s="86">
        <v>0</v>
      </c>
      <c r="M17" s="87">
        <f t="shared" ref="M17:M49" si="24">+L17*B17</f>
        <v>0</v>
      </c>
      <c r="N17" s="93">
        <f t="shared" ref="N17:N50" si="25">+M17</f>
        <v>0</v>
      </c>
      <c r="O17" s="86">
        <v>0</v>
      </c>
      <c r="P17" s="87">
        <f t="shared" ref="P17:P49" si="26">+O17*B17</f>
        <v>0</v>
      </c>
      <c r="Q17" s="86">
        <v>0</v>
      </c>
      <c r="R17" s="87">
        <f t="shared" ref="R17:R49" si="27">+Q17*B17</f>
        <v>0</v>
      </c>
      <c r="S17" s="93">
        <f t="shared" ref="S17:S50" si="28">+P17+R17</f>
        <v>0</v>
      </c>
      <c r="T17" s="88">
        <v>0</v>
      </c>
      <c r="U17" s="89">
        <f t="shared" ref="U17:U49" si="29">+T17*B17</f>
        <v>0</v>
      </c>
      <c r="V17" s="88">
        <v>0</v>
      </c>
      <c r="W17" s="89">
        <f>+V17*B17</f>
        <v>0</v>
      </c>
      <c r="X17" s="93">
        <f t="shared" ref="X17:X50" si="30">+U17+W17</f>
        <v>0</v>
      </c>
      <c r="Y17" s="88">
        <v>0</v>
      </c>
      <c r="Z17" s="89">
        <f t="shared" si="17"/>
        <v>0</v>
      </c>
      <c r="AA17" s="93">
        <f t="shared" ref="AA17:AA50" si="31">+Z17</f>
        <v>0</v>
      </c>
      <c r="AB17" s="81">
        <f t="shared" ref="AB17:AB50" si="32">+(D17+K17+N17+S17+X17+AA17)-B17</f>
        <v>0</v>
      </c>
      <c r="AC17" s="82">
        <f t="shared" ref="AC17:AC50" si="33">+C17+E17+G17+I17+L17+O17+Q17+T17+V17+Y17</f>
        <v>1</v>
      </c>
      <c r="AD17" s="159">
        <f t="shared" si="18"/>
        <v>0</v>
      </c>
    </row>
    <row r="18" spans="1:30" x14ac:dyDescent="0.25">
      <c r="A18" s="46" t="s">
        <v>268</v>
      </c>
      <c r="B18" s="90">
        <v>1000000</v>
      </c>
      <c r="C18" s="91">
        <v>0</v>
      </c>
      <c r="D18" s="85">
        <f t="shared" si="19"/>
        <v>0</v>
      </c>
      <c r="E18" s="122">
        <v>0.6</v>
      </c>
      <c r="F18" s="123">
        <f t="shared" si="20"/>
        <v>600000</v>
      </c>
      <c r="G18" s="122">
        <v>0.4</v>
      </c>
      <c r="H18" s="123">
        <f t="shared" si="21"/>
        <v>400000</v>
      </c>
      <c r="I18" s="122">
        <v>0</v>
      </c>
      <c r="J18" s="123">
        <f t="shared" si="22"/>
        <v>0</v>
      </c>
      <c r="K18" s="93">
        <f t="shared" si="23"/>
        <v>1000000</v>
      </c>
      <c r="L18" s="86">
        <v>0</v>
      </c>
      <c r="M18" s="87">
        <f t="shared" si="24"/>
        <v>0</v>
      </c>
      <c r="N18" s="93">
        <f t="shared" si="25"/>
        <v>0</v>
      </c>
      <c r="O18" s="86">
        <v>0</v>
      </c>
      <c r="P18" s="87">
        <f t="shared" si="26"/>
        <v>0</v>
      </c>
      <c r="Q18" s="86">
        <v>0</v>
      </c>
      <c r="R18" s="87">
        <f t="shared" si="27"/>
        <v>0</v>
      </c>
      <c r="S18" s="93">
        <f t="shared" si="28"/>
        <v>0</v>
      </c>
      <c r="T18" s="88">
        <v>0</v>
      </c>
      <c r="U18" s="89">
        <f t="shared" si="29"/>
        <v>0</v>
      </c>
      <c r="V18" s="88">
        <v>0</v>
      </c>
      <c r="W18" s="89">
        <f>+V18*B18</f>
        <v>0</v>
      </c>
      <c r="X18" s="93">
        <f t="shared" si="30"/>
        <v>0</v>
      </c>
      <c r="Y18" s="88">
        <v>0</v>
      </c>
      <c r="Z18" s="89">
        <f t="shared" si="17"/>
        <v>0</v>
      </c>
      <c r="AA18" s="93">
        <f t="shared" si="31"/>
        <v>0</v>
      </c>
      <c r="AB18" s="81">
        <f t="shared" si="32"/>
        <v>0</v>
      </c>
      <c r="AC18" s="82">
        <f t="shared" si="33"/>
        <v>1</v>
      </c>
      <c r="AD18" s="159">
        <f t="shared" si="18"/>
        <v>1000000</v>
      </c>
    </row>
    <row r="19" spans="1:30" x14ac:dyDescent="0.25">
      <c r="A19" s="46" t="s">
        <v>186</v>
      </c>
      <c r="B19" s="90">
        <v>910000</v>
      </c>
      <c r="C19" s="91">
        <v>0.1</v>
      </c>
      <c r="D19" s="85">
        <f t="shared" si="19"/>
        <v>91000</v>
      </c>
      <c r="E19" s="122">
        <v>0</v>
      </c>
      <c r="F19" s="123">
        <f t="shared" si="20"/>
        <v>0</v>
      </c>
      <c r="G19" s="122">
        <v>0</v>
      </c>
      <c r="H19" s="123">
        <f t="shared" si="21"/>
        <v>0</v>
      </c>
      <c r="I19" s="122">
        <v>0</v>
      </c>
      <c r="J19" s="123">
        <f t="shared" si="22"/>
        <v>0</v>
      </c>
      <c r="K19" s="93">
        <f t="shared" si="23"/>
        <v>0</v>
      </c>
      <c r="L19" s="86">
        <v>0.01</v>
      </c>
      <c r="M19" s="87">
        <f t="shared" si="24"/>
        <v>9100</v>
      </c>
      <c r="N19" s="93">
        <f t="shared" si="25"/>
        <v>9100</v>
      </c>
      <c r="O19" s="86">
        <v>0.2</v>
      </c>
      <c r="P19" s="87">
        <f t="shared" si="26"/>
        <v>182000</v>
      </c>
      <c r="Q19" s="86">
        <v>0.15</v>
      </c>
      <c r="R19" s="87">
        <f t="shared" si="27"/>
        <v>136500</v>
      </c>
      <c r="S19" s="93">
        <f t="shared" si="28"/>
        <v>318500</v>
      </c>
      <c r="T19" s="88">
        <v>0.2</v>
      </c>
      <c r="U19" s="89">
        <f t="shared" si="29"/>
        <v>182000</v>
      </c>
      <c r="V19" s="88">
        <v>0.24</v>
      </c>
      <c r="W19" s="89">
        <f t="shared" ref="W19:W49" si="34">+V19*B19</f>
        <v>218400</v>
      </c>
      <c r="X19" s="93">
        <f t="shared" si="30"/>
        <v>400400</v>
      </c>
      <c r="Y19" s="88">
        <v>0.1</v>
      </c>
      <c r="Z19" s="89">
        <f t="shared" si="17"/>
        <v>91000</v>
      </c>
      <c r="AA19" s="93">
        <f t="shared" si="31"/>
        <v>91000</v>
      </c>
      <c r="AB19" s="81">
        <f t="shared" si="32"/>
        <v>0</v>
      </c>
      <c r="AC19" s="82">
        <f t="shared" si="33"/>
        <v>0.99999999999999989</v>
      </c>
      <c r="AD19" s="159">
        <f t="shared" si="18"/>
        <v>409500</v>
      </c>
    </row>
    <row r="20" spans="1:30" x14ac:dyDescent="0.25">
      <c r="A20" s="46" t="s">
        <v>276</v>
      </c>
      <c r="B20" s="90">
        <v>3953130</v>
      </c>
      <c r="C20" s="91">
        <v>0</v>
      </c>
      <c r="D20" s="85">
        <f t="shared" si="19"/>
        <v>0</v>
      </c>
      <c r="E20" s="122">
        <v>0</v>
      </c>
      <c r="F20" s="123">
        <f t="shared" si="20"/>
        <v>0</v>
      </c>
      <c r="G20" s="122">
        <v>0</v>
      </c>
      <c r="H20" s="123">
        <f t="shared" si="21"/>
        <v>0</v>
      </c>
      <c r="I20" s="122">
        <v>0</v>
      </c>
      <c r="J20" s="123">
        <f t="shared" si="22"/>
        <v>0</v>
      </c>
      <c r="K20" s="93">
        <f t="shared" si="23"/>
        <v>0</v>
      </c>
      <c r="L20" s="86">
        <v>0</v>
      </c>
      <c r="M20" s="87">
        <f t="shared" si="24"/>
        <v>0</v>
      </c>
      <c r="N20" s="93">
        <f t="shared" si="25"/>
        <v>0</v>
      </c>
      <c r="O20" s="86">
        <v>0</v>
      </c>
      <c r="P20" s="87">
        <f t="shared" si="26"/>
        <v>0</v>
      </c>
      <c r="Q20" s="86">
        <v>0</v>
      </c>
      <c r="R20" s="87">
        <f t="shared" si="27"/>
        <v>0</v>
      </c>
      <c r="S20" s="93">
        <f t="shared" si="28"/>
        <v>0</v>
      </c>
      <c r="T20" s="88">
        <v>0</v>
      </c>
      <c r="U20" s="89">
        <f t="shared" si="29"/>
        <v>0</v>
      </c>
      <c r="V20" s="88">
        <v>0</v>
      </c>
      <c r="W20" s="89">
        <f t="shared" si="34"/>
        <v>0</v>
      </c>
      <c r="X20" s="93">
        <f t="shared" si="30"/>
        <v>0</v>
      </c>
      <c r="Y20" s="88">
        <v>1</v>
      </c>
      <c r="Z20" s="89">
        <f t="shared" si="17"/>
        <v>3953130</v>
      </c>
      <c r="AA20" s="93">
        <f t="shared" si="31"/>
        <v>3953130</v>
      </c>
      <c r="AB20" s="81">
        <f t="shared" si="32"/>
        <v>0</v>
      </c>
      <c r="AC20" s="82">
        <f t="shared" si="33"/>
        <v>1</v>
      </c>
      <c r="AD20" s="159">
        <f t="shared" si="18"/>
        <v>3953130</v>
      </c>
    </row>
    <row r="21" spans="1:30" x14ac:dyDescent="0.25">
      <c r="A21" s="46" t="s">
        <v>277</v>
      </c>
      <c r="B21" s="90">
        <v>7055</v>
      </c>
      <c r="C21" s="91">
        <v>0.1</v>
      </c>
      <c r="D21" s="85">
        <f t="shared" si="19"/>
        <v>705.5</v>
      </c>
      <c r="E21" s="122">
        <v>0</v>
      </c>
      <c r="F21" s="123">
        <f t="shared" ref="F21" si="35">+B21*E21</f>
        <v>0</v>
      </c>
      <c r="G21" s="122">
        <v>0</v>
      </c>
      <c r="H21" s="123">
        <f t="shared" ref="H21" si="36">+B21*G21</f>
        <v>0</v>
      </c>
      <c r="I21" s="122">
        <v>0</v>
      </c>
      <c r="J21" s="123">
        <f t="shared" ref="J21" si="37">+B21*I21</f>
        <v>0</v>
      </c>
      <c r="K21" s="93">
        <f t="shared" ref="K21" si="38">+F21+H21+J21</f>
        <v>0</v>
      </c>
      <c r="L21" s="86">
        <v>0</v>
      </c>
      <c r="M21" s="87">
        <f t="shared" ref="M21" si="39">+L21*B21</f>
        <v>0</v>
      </c>
      <c r="N21" s="93">
        <f t="shared" si="25"/>
        <v>0</v>
      </c>
      <c r="O21" s="86">
        <v>0</v>
      </c>
      <c r="P21" s="87">
        <f t="shared" ref="P21" si="40">+O21*B21</f>
        <v>0</v>
      </c>
      <c r="Q21" s="86">
        <v>0</v>
      </c>
      <c r="R21" s="87">
        <f t="shared" ref="R21" si="41">+Q21*B21</f>
        <v>0</v>
      </c>
      <c r="S21" s="93">
        <f t="shared" si="28"/>
        <v>0</v>
      </c>
      <c r="T21" s="88">
        <v>0.1</v>
      </c>
      <c r="U21" s="89">
        <f t="shared" ref="U21" si="42">+T21*B21</f>
        <v>705.5</v>
      </c>
      <c r="V21" s="88">
        <v>0.7</v>
      </c>
      <c r="W21" s="89">
        <f t="shared" ref="W21" si="43">+V21*B21</f>
        <v>4938.5</v>
      </c>
      <c r="X21" s="93">
        <f t="shared" si="30"/>
        <v>5644</v>
      </c>
      <c r="Y21" s="88">
        <v>0.1</v>
      </c>
      <c r="Z21" s="89">
        <f t="shared" ref="Z21" si="44">+Y21*B21</f>
        <v>705.5</v>
      </c>
      <c r="AA21" s="93">
        <f t="shared" si="31"/>
        <v>705.5</v>
      </c>
      <c r="AB21" s="81">
        <f t="shared" si="32"/>
        <v>0</v>
      </c>
      <c r="AC21" s="82">
        <f t="shared" ref="AC21" si="45">+C21+E21+G21+I21+L21+O21+Q21+T21+V21+Y21</f>
        <v>0.99999999999999989</v>
      </c>
      <c r="AD21" s="159">
        <f t="shared" si="18"/>
        <v>705.5</v>
      </c>
    </row>
    <row r="22" spans="1:30" x14ac:dyDescent="0.25">
      <c r="A22" s="46" t="s">
        <v>121</v>
      </c>
      <c r="B22" s="90"/>
      <c r="C22" s="91">
        <v>0.1</v>
      </c>
      <c r="D22" s="85">
        <f t="shared" si="19"/>
        <v>0</v>
      </c>
      <c r="E22" s="122">
        <v>0.05</v>
      </c>
      <c r="F22" s="123">
        <f t="shared" si="20"/>
        <v>0</v>
      </c>
      <c r="G22" s="122">
        <v>0.05</v>
      </c>
      <c r="H22" s="123">
        <f t="shared" si="21"/>
        <v>0</v>
      </c>
      <c r="I22" s="122">
        <v>0.01</v>
      </c>
      <c r="J22" s="123">
        <f t="shared" si="22"/>
        <v>0</v>
      </c>
      <c r="K22" s="93">
        <f t="shared" si="23"/>
        <v>0</v>
      </c>
      <c r="L22" s="86">
        <v>0</v>
      </c>
      <c r="M22" s="87">
        <f t="shared" si="24"/>
        <v>0</v>
      </c>
      <c r="N22" s="93">
        <f t="shared" si="25"/>
        <v>0</v>
      </c>
      <c r="O22" s="86">
        <v>0.05</v>
      </c>
      <c r="P22" s="87">
        <f t="shared" si="26"/>
        <v>0</v>
      </c>
      <c r="Q22" s="86">
        <v>0.05</v>
      </c>
      <c r="R22" s="87">
        <f t="shared" si="27"/>
        <v>0</v>
      </c>
      <c r="S22" s="93">
        <f t="shared" si="28"/>
        <v>0</v>
      </c>
      <c r="T22" s="88">
        <v>0</v>
      </c>
      <c r="U22" s="89">
        <f t="shared" si="29"/>
        <v>0</v>
      </c>
      <c r="V22" s="88">
        <v>0.45</v>
      </c>
      <c r="W22" s="89">
        <f t="shared" si="34"/>
        <v>0</v>
      </c>
      <c r="X22" s="93">
        <f t="shared" si="30"/>
        <v>0</v>
      </c>
      <c r="Y22" s="88">
        <v>0.24</v>
      </c>
      <c r="Z22" s="89">
        <f t="shared" si="17"/>
        <v>0</v>
      </c>
      <c r="AA22" s="93">
        <f t="shared" si="31"/>
        <v>0</v>
      </c>
      <c r="AB22" s="81">
        <f t="shared" si="32"/>
        <v>0</v>
      </c>
      <c r="AC22" s="82">
        <f t="shared" si="33"/>
        <v>1</v>
      </c>
      <c r="AD22" s="159">
        <f t="shared" si="18"/>
        <v>0</v>
      </c>
    </row>
    <row r="23" spans="1:30" x14ac:dyDescent="0.25">
      <c r="A23" s="46" t="s">
        <v>111</v>
      </c>
      <c r="B23" s="90">
        <f>97920+419847</f>
        <v>517767</v>
      </c>
      <c r="C23" s="91">
        <v>0</v>
      </c>
      <c r="D23" s="85">
        <f t="shared" si="19"/>
        <v>0</v>
      </c>
      <c r="E23" s="122">
        <v>0</v>
      </c>
      <c r="F23" s="123">
        <f t="shared" si="20"/>
        <v>0</v>
      </c>
      <c r="G23" s="122">
        <v>0</v>
      </c>
      <c r="H23" s="123">
        <f t="shared" si="21"/>
        <v>0</v>
      </c>
      <c r="I23" s="122">
        <v>0</v>
      </c>
      <c r="J23" s="123">
        <f t="shared" si="22"/>
        <v>0</v>
      </c>
      <c r="K23" s="93">
        <f t="shared" si="23"/>
        <v>0</v>
      </c>
      <c r="L23" s="86">
        <v>0</v>
      </c>
      <c r="M23" s="87">
        <f t="shared" si="24"/>
        <v>0</v>
      </c>
      <c r="N23" s="93">
        <f t="shared" si="25"/>
        <v>0</v>
      </c>
      <c r="O23" s="86">
        <v>0</v>
      </c>
      <c r="P23" s="87">
        <f t="shared" si="26"/>
        <v>0</v>
      </c>
      <c r="Q23" s="86">
        <v>0</v>
      </c>
      <c r="R23" s="87">
        <f t="shared" si="27"/>
        <v>0</v>
      </c>
      <c r="S23" s="93">
        <f t="shared" si="28"/>
        <v>0</v>
      </c>
      <c r="T23" s="88">
        <v>0</v>
      </c>
      <c r="U23" s="89">
        <f t="shared" si="29"/>
        <v>0</v>
      </c>
      <c r="V23" s="88">
        <v>0</v>
      </c>
      <c r="W23" s="89">
        <f t="shared" si="34"/>
        <v>0</v>
      </c>
      <c r="X23" s="93">
        <f t="shared" si="30"/>
        <v>0</v>
      </c>
      <c r="Y23" s="88">
        <v>1</v>
      </c>
      <c r="Z23" s="89">
        <f t="shared" si="17"/>
        <v>517767</v>
      </c>
      <c r="AA23" s="93">
        <f t="shared" si="31"/>
        <v>517767</v>
      </c>
      <c r="AB23" s="81">
        <f t="shared" si="32"/>
        <v>0</v>
      </c>
      <c r="AC23" s="82">
        <f t="shared" si="33"/>
        <v>1</v>
      </c>
      <c r="AD23" s="159">
        <f t="shared" si="18"/>
        <v>517767</v>
      </c>
    </row>
    <row r="24" spans="1:30" x14ac:dyDescent="0.25">
      <c r="A24" s="46" t="s">
        <v>220</v>
      </c>
      <c r="B24" s="90">
        <v>428414</v>
      </c>
      <c r="C24" s="91">
        <v>0.1</v>
      </c>
      <c r="D24" s="85">
        <f t="shared" si="19"/>
        <v>42841.4</v>
      </c>
      <c r="E24" s="122">
        <v>0.05</v>
      </c>
      <c r="F24" s="123">
        <f t="shared" si="20"/>
        <v>21420.7</v>
      </c>
      <c r="G24" s="122">
        <v>0.15</v>
      </c>
      <c r="H24" s="123">
        <f t="shared" si="21"/>
        <v>64262.1</v>
      </c>
      <c r="I24" s="122">
        <v>0</v>
      </c>
      <c r="J24" s="123">
        <f t="shared" si="22"/>
        <v>0</v>
      </c>
      <c r="K24" s="93">
        <f t="shared" si="23"/>
        <v>85682.8</v>
      </c>
      <c r="L24" s="86">
        <v>0</v>
      </c>
      <c r="M24" s="87">
        <f t="shared" si="24"/>
        <v>0</v>
      </c>
      <c r="N24" s="93">
        <f t="shared" si="25"/>
        <v>0</v>
      </c>
      <c r="O24" s="86">
        <v>0</v>
      </c>
      <c r="P24" s="87">
        <f t="shared" si="26"/>
        <v>0</v>
      </c>
      <c r="Q24" s="86">
        <v>0.05</v>
      </c>
      <c r="R24" s="87">
        <f t="shared" si="27"/>
        <v>21420.7</v>
      </c>
      <c r="S24" s="93">
        <f t="shared" si="28"/>
        <v>21420.7</v>
      </c>
      <c r="T24" s="88">
        <v>0.15</v>
      </c>
      <c r="U24" s="89">
        <f t="shared" si="29"/>
        <v>64262.1</v>
      </c>
      <c r="V24" s="88">
        <v>0.45</v>
      </c>
      <c r="W24" s="89">
        <f t="shared" si="34"/>
        <v>192786.30000000002</v>
      </c>
      <c r="X24" s="93">
        <f t="shared" si="30"/>
        <v>257048.40000000002</v>
      </c>
      <c r="Y24" s="88">
        <v>0.05</v>
      </c>
      <c r="Z24" s="89">
        <f t="shared" si="17"/>
        <v>21420.7</v>
      </c>
      <c r="AA24" s="93">
        <f t="shared" si="31"/>
        <v>21420.7</v>
      </c>
      <c r="AB24" s="81">
        <f t="shared" si="32"/>
        <v>0</v>
      </c>
      <c r="AC24" s="82">
        <f t="shared" si="33"/>
        <v>1</v>
      </c>
      <c r="AD24" s="159">
        <f t="shared" si="18"/>
        <v>128524.20000000001</v>
      </c>
    </row>
    <row r="25" spans="1:30" x14ac:dyDescent="0.25">
      <c r="A25" s="46" t="s">
        <v>68</v>
      </c>
      <c r="B25" s="90"/>
      <c r="C25" s="91">
        <v>0.1</v>
      </c>
      <c r="D25" s="85">
        <f t="shared" si="19"/>
        <v>0</v>
      </c>
      <c r="E25" s="122">
        <v>0.05</v>
      </c>
      <c r="F25" s="123">
        <f t="shared" si="20"/>
        <v>0</v>
      </c>
      <c r="G25" s="122">
        <v>0.15</v>
      </c>
      <c r="H25" s="123">
        <f t="shared" si="21"/>
        <v>0</v>
      </c>
      <c r="I25" s="122">
        <v>0</v>
      </c>
      <c r="J25" s="123">
        <f t="shared" si="22"/>
        <v>0</v>
      </c>
      <c r="K25" s="93">
        <f t="shared" si="23"/>
        <v>0</v>
      </c>
      <c r="L25" s="86">
        <v>0</v>
      </c>
      <c r="M25" s="87">
        <f t="shared" si="24"/>
        <v>0</v>
      </c>
      <c r="N25" s="93">
        <f t="shared" si="25"/>
        <v>0</v>
      </c>
      <c r="O25" s="86">
        <v>0</v>
      </c>
      <c r="P25" s="87">
        <f t="shared" si="26"/>
        <v>0</v>
      </c>
      <c r="Q25" s="86">
        <v>0.05</v>
      </c>
      <c r="R25" s="87">
        <f t="shared" si="27"/>
        <v>0</v>
      </c>
      <c r="S25" s="93">
        <f t="shared" si="28"/>
        <v>0</v>
      </c>
      <c r="T25" s="88">
        <v>0.15</v>
      </c>
      <c r="U25" s="89">
        <f t="shared" si="29"/>
        <v>0</v>
      </c>
      <c r="V25" s="88">
        <v>0.45</v>
      </c>
      <c r="W25" s="89">
        <f t="shared" si="34"/>
        <v>0</v>
      </c>
      <c r="X25" s="93">
        <f t="shared" si="30"/>
        <v>0</v>
      </c>
      <c r="Y25" s="88">
        <v>0.05</v>
      </c>
      <c r="Z25" s="89">
        <f t="shared" si="17"/>
        <v>0</v>
      </c>
      <c r="AA25" s="93">
        <f t="shared" si="31"/>
        <v>0</v>
      </c>
      <c r="AB25" s="81">
        <f t="shared" si="32"/>
        <v>0</v>
      </c>
      <c r="AC25" s="82">
        <f t="shared" si="33"/>
        <v>1</v>
      </c>
      <c r="AD25" s="159">
        <f t="shared" si="18"/>
        <v>0</v>
      </c>
    </row>
    <row r="26" spans="1:30" x14ac:dyDescent="0.25">
      <c r="A26" s="46" t="s">
        <v>187</v>
      </c>
      <c r="B26" s="90"/>
      <c r="C26" s="91">
        <v>0.1</v>
      </c>
      <c r="D26" s="85">
        <f t="shared" si="19"/>
        <v>0</v>
      </c>
      <c r="E26" s="122">
        <v>0</v>
      </c>
      <c r="F26" s="123">
        <f t="shared" si="20"/>
        <v>0</v>
      </c>
      <c r="G26" s="122">
        <v>0</v>
      </c>
      <c r="H26" s="123">
        <f t="shared" si="21"/>
        <v>0</v>
      </c>
      <c r="I26" s="122">
        <v>0.1</v>
      </c>
      <c r="J26" s="123">
        <f t="shared" si="22"/>
        <v>0</v>
      </c>
      <c r="K26" s="93">
        <f t="shared" si="23"/>
        <v>0</v>
      </c>
      <c r="L26" s="86">
        <v>0</v>
      </c>
      <c r="M26" s="87">
        <f t="shared" si="24"/>
        <v>0</v>
      </c>
      <c r="N26" s="93">
        <f t="shared" si="25"/>
        <v>0</v>
      </c>
      <c r="O26" s="86">
        <v>0.05</v>
      </c>
      <c r="P26" s="87">
        <f t="shared" si="26"/>
        <v>0</v>
      </c>
      <c r="Q26" s="86">
        <v>0.1</v>
      </c>
      <c r="R26" s="87">
        <f t="shared" si="27"/>
        <v>0</v>
      </c>
      <c r="S26" s="93">
        <f t="shared" si="28"/>
        <v>0</v>
      </c>
      <c r="T26" s="88">
        <v>0.05</v>
      </c>
      <c r="U26" s="89">
        <f t="shared" si="29"/>
        <v>0</v>
      </c>
      <c r="V26" s="88">
        <v>0.6</v>
      </c>
      <c r="W26" s="89">
        <f t="shared" si="34"/>
        <v>0</v>
      </c>
      <c r="X26" s="93">
        <f t="shared" si="30"/>
        <v>0</v>
      </c>
      <c r="Y26" s="88">
        <v>0</v>
      </c>
      <c r="Z26" s="89">
        <f t="shared" si="17"/>
        <v>0</v>
      </c>
      <c r="AA26" s="93">
        <f t="shared" si="31"/>
        <v>0</v>
      </c>
      <c r="AB26" s="81">
        <f t="shared" si="32"/>
        <v>0</v>
      </c>
      <c r="AC26" s="82">
        <f t="shared" si="33"/>
        <v>1</v>
      </c>
      <c r="AD26" s="159">
        <f t="shared" si="18"/>
        <v>0</v>
      </c>
    </row>
    <row r="27" spans="1:30" x14ac:dyDescent="0.25">
      <c r="A27" s="46" t="s">
        <v>188</v>
      </c>
      <c r="B27" s="90">
        <v>194536</v>
      </c>
      <c r="C27" s="91">
        <v>0.1</v>
      </c>
      <c r="D27" s="85">
        <f t="shared" si="19"/>
        <v>19453.600000000002</v>
      </c>
      <c r="E27" s="122">
        <v>0</v>
      </c>
      <c r="F27" s="123">
        <f t="shared" si="20"/>
        <v>0</v>
      </c>
      <c r="G27" s="122">
        <v>0.1</v>
      </c>
      <c r="H27" s="123">
        <f t="shared" si="21"/>
        <v>19453.600000000002</v>
      </c>
      <c r="I27" s="122">
        <v>0.02</v>
      </c>
      <c r="J27" s="123">
        <f t="shared" si="22"/>
        <v>3890.7200000000003</v>
      </c>
      <c r="K27" s="93">
        <f t="shared" si="23"/>
        <v>23344.320000000003</v>
      </c>
      <c r="L27" s="86">
        <v>0</v>
      </c>
      <c r="M27" s="87">
        <f t="shared" si="24"/>
        <v>0</v>
      </c>
      <c r="N27" s="93">
        <f t="shared" si="25"/>
        <v>0</v>
      </c>
      <c r="O27" s="86">
        <v>0.1</v>
      </c>
      <c r="P27" s="87">
        <f t="shared" si="26"/>
        <v>19453.600000000002</v>
      </c>
      <c r="Q27" s="86">
        <v>0.05</v>
      </c>
      <c r="R27" s="87">
        <f t="shared" si="27"/>
        <v>9726.8000000000011</v>
      </c>
      <c r="S27" s="93">
        <f t="shared" si="28"/>
        <v>29180.400000000001</v>
      </c>
      <c r="T27" s="88">
        <v>0.02</v>
      </c>
      <c r="U27" s="89">
        <f t="shared" si="29"/>
        <v>3890.7200000000003</v>
      </c>
      <c r="V27" s="88">
        <v>0.61</v>
      </c>
      <c r="W27" s="89">
        <f t="shared" si="34"/>
        <v>118666.95999999999</v>
      </c>
      <c r="X27" s="93">
        <f t="shared" si="30"/>
        <v>122557.68</v>
      </c>
      <c r="Y27" s="88">
        <v>0</v>
      </c>
      <c r="Z27" s="89">
        <f t="shared" si="17"/>
        <v>0</v>
      </c>
      <c r="AA27" s="93">
        <f t="shared" si="31"/>
        <v>0</v>
      </c>
      <c r="AB27" s="81">
        <f t="shared" si="32"/>
        <v>0</v>
      </c>
      <c r="AC27" s="82">
        <f t="shared" si="33"/>
        <v>1</v>
      </c>
      <c r="AD27" s="159">
        <f t="shared" si="18"/>
        <v>52524.72</v>
      </c>
    </row>
    <row r="28" spans="1:30" x14ac:dyDescent="0.25">
      <c r="A28" s="46" t="s">
        <v>263</v>
      </c>
      <c r="B28" s="90"/>
      <c r="C28" s="91">
        <v>0.1</v>
      </c>
      <c r="D28" s="85">
        <f t="shared" si="19"/>
        <v>0</v>
      </c>
      <c r="E28" s="122">
        <v>0</v>
      </c>
      <c r="F28" s="123">
        <f t="shared" si="20"/>
        <v>0</v>
      </c>
      <c r="G28" s="122">
        <v>0.1</v>
      </c>
      <c r="H28" s="123">
        <f t="shared" si="21"/>
        <v>0</v>
      </c>
      <c r="I28" s="122">
        <v>0.02</v>
      </c>
      <c r="J28" s="123">
        <f t="shared" si="22"/>
        <v>0</v>
      </c>
      <c r="K28" s="93">
        <f t="shared" si="23"/>
        <v>0</v>
      </c>
      <c r="L28" s="86">
        <v>0</v>
      </c>
      <c r="M28" s="87">
        <f t="shared" si="24"/>
        <v>0</v>
      </c>
      <c r="N28" s="93">
        <f t="shared" si="25"/>
        <v>0</v>
      </c>
      <c r="O28" s="86">
        <v>0.1</v>
      </c>
      <c r="P28" s="87">
        <f t="shared" si="26"/>
        <v>0</v>
      </c>
      <c r="Q28" s="86">
        <v>0.05</v>
      </c>
      <c r="R28" s="87">
        <f t="shared" si="27"/>
        <v>0</v>
      </c>
      <c r="S28" s="93">
        <f t="shared" si="28"/>
        <v>0</v>
      </c>
      <c r="T28" s="88">
        <v>0.02</v>
      </c>
      <c r="U28" s="89">
        <f t="shared" si="29"/>
        <v>0</v>
      </c>
      <c r="V28" s="88">
        <v>0.61</v>
      </c>
      <c r="W28" s="89">
        <f t="shared" si="34"/>
        <v>0</v>
      </c>
      <c r="X28" s="93">
        <f t="shared" si="30"/>
        <v>0</v>
      </c>
      <c r="Y28" s="88">
        <v>0</v>
      </c>
      <c r="Z28" s="89">
        <f t="shared" si="17"/>
        <v>0</v>
      </c>
      <c r="AA28" s="93">
        <f t="shared" si="31"/>
        <v>0</v>
      </c>
      <c r="AB28" s="81">
        <f t="shared" si="32"/>
        <v>0</v>
      </c>
      <c r="AC28" s="82">
        <f t="shared" si="33"/>
        <v>1</v>
      </c>
      <c r="AD28" s="159">
        <f t="shared" si="18"/>
        <v>0</v>
      </c>
    </row>
    <row r="29" spans="1:30" x14ac:dyDescent="0.25">
      <c r="A29" s="46" t="s">
        <v>108</v>
      </c>
      <c r="B29" s="90"/>
      <c r="C29" s="91">
        <v>0.1</v>
      </c>
      <c r="D29" s="85">
        <f t="shared" si="19"/>
        <v>0</v>
      </c>
      <c r="E29" s="122">
        <v>0.05</v>
      </c>
      <c r="F29" s="123">
        <f t="shared" si="20"/>
        <v>0</v>
      </c>
      <c r="G29" s="122">
        <v>0.05</v>
      </c>
      <c r="H29" s="123">
        <f t="shared" si="21"/>
        <v>0</v>
      </c>
      <c r="I29" s="122">
        <v>0.01</v>
      </c>
      <c r="J29" s="123">
        <f t="shared" si="22"/>
        <v>0</v>
      </c>
      <c r="K29" s="93">
        <f t="shared" si="23"/>
        <v>0</v>
      </c>
      <c r="L29" s="86">
        <v>0</v>
      </c>
      <c r="M29" s="87">
        <f t="shared" si="24"/>
        <v>0</v>
      </c>
      <c r="N29" s="93">
        <f t="shared" si="25"/>
        <v>0</v>
      </c>
      <c r="O29" s="86">
        <v>0.02</v>
      </c>
      <c r="P29" s="87">
        <f t="shared" si="26"/>
        <v>0</v>
      </c>
      <c r="Q29" s="86">
        <v>0.25</v>
      </c>
      <c r="R29" s="87">
        <f t="shared" si="27"/>
        <v>0</v>
      </c>
      <c r="S29" s="93">
        <f t="shared" si="28"/>
        <v>0</v>
      </c>
      <c r="T29" s="88">
        <v>0.02</v>
      </c>
      <c r="U29" s="89">
        <f t="shared" si="29"/>
        <v>0</v>
      </c>
      <c r="V29" s="88">
        <v>0.5</v>
      </c>
      <c r="W29" s="89">
        <f t="shared" si="34"/>
        <v>0</v>
      </c>
      <c r="X29" s="93">
        <f t="shared" si="30"/>
        <v>0</v>
      </c>
      <c r="Y29" s="88">
        <v>0</v>
      </c>
      <c r="Z29" s="89">
        <f t="shared" si="17"/>
        <v>0</v>
      </c>
      <c r="AA29" s="93">
        <f t="shared" si="31"/>
        <v>0</v>
      </c>
      <c r="AB29" s="81">
        <f t="shared" si="32"/>
        <v>0</v>
      </c>
      <c r="AC29" s="82">
        <f t="shared" si="33"/>
        <v>1</v>
      </c>
      <c r="AD29" s="159">
        <f t="shared" si="18"/>
        <v>0</v>
      </c>
    </row>
    <row r="30" spans="1:30" x14ac:dyDescent="0.25">
      <c r="A30" s="46" t="s">
        <v>155</v>
      </c>
      <c r="B30" s="90">
        <v>44000</v>
      </c>
      <c r="C30" s="91">
        <v>0.1</v>
      </c>
      <c r="D30" s="85">
        <f t="shared" si="19"/>
        <v>4400</v>
      </c>
      <c r="E30" s="122">
        <v>0</v>
      </c>
      <c r="F30" s="123">
        <f t="shared" si="20"/>
        <v>0</v>
      </c>
      <c r="G30" s="122">
        <v>0</v>
      </c>
      <c r="H30" s="123">
        <f t="shared" si="21"/>
        <v>0</v>
      </c>
      <c r="I30" s="122">
        <v>0</v>
      </c>
      <c r="J30" s="123">
        <f t="shared" si="22"/>
        <v>0</v>
      </c>
      <c r="K30" s="93">
        <f t="shared" si="23"/>
        <v>0</v>
      </c>
      <c r="L30" s="86">
        <v>0.1</v>
      </c>
      <c r="M30" s="87">
        <f t="shared" si="24"/>
        <v>4400</v>
      </c>
      <c r="N30" s="93">
        <f t="shared" si="25"/>
        <v>4400</v>
      </c>
      <c r="O30" s="86">
        <v>0.1</v>
      </c>
      <c r="P30" s="87">
        <f t="shared" si="26"/>
        <v>4400</v>
      </c>
      <c r="Q30" s="86">
        <v>0.28000000000000003</v>
      </c>
      <c r="R30" s="87">
        <f t="shared" si="27"/>
        <v>12320.000000000002</v>
      </c>
      <c r="S30" s="93">
        <f t="shared" si="28"/>
        <v>16720</v>
      </c>
      <c r="T30" s="88">
        <v>0.02</v>
      </c>
      <c r="U30" s="89">
        <f t="shared" si="29"/>
        <v>880</v>
      </c>
      <c r="V30" s="88">
        <v>0.4</v>
      </c>
      <c r="W30" s="89">
        <f t="shared" si="34"/>
        <v>17600</v>
      </c>
      <c r="X30" s="93">
        <f t="shared" si="30"/>
        <v>18480</v>
      </c>
      <c r="Y30" s="88">
        <v>0</v>
      </c>
      <c r="Z30" s="89">
        <f t="shared" si="17"/>
        <v>0</v>
      </c>
      <c r="AA30" s="93">
        <f t="shared" si="31"/>
        <v>0</v>
      </c>
      <c r="AB30" s="81">
        <f t="shared" si="32"/>
        <v>0</v>
      </c>
      <c r="AC30" s="82">
        <f t="shared" si="33"/>
        <v>1</v>
      </c>
      <c r="AD30" s="159">
        <f t="shared" si="18"/>
        <v>16720</v>
      </c>
    </row>
    <row r="31" spans="1:30" x14ac:dyDescent="0.25">
      <c r="A31" s="46" t="s">
        <v>115</v>
      </c>
      <c r="B31" s="90"/>
      <c r="C31" s="91">
        <v>0.1</v>
      </c>
      <c r="D31" s="85">
        <f t="shared" si="19"/>
        <v>0</v>
      </c>
      <c r="E31" s="122">
        <v>0</v>
      </c>
      <c r="F31" s="123">
        <f t="shared" si="20"/>
        <v>0</v>
      </c>
      <c r="G31" s="122">
        <v>0</v>
      </c>
      <c r="H31" s="123">
        <f t="shared" si="21"/>
        <v>0</v>
      </c>
      <c r="I31" s="122">
        <v>0</v>
      </c>
      <c r="J31" s="123">
        <f t="shared" si="22"/>
        <v>0</v>
      </c>
      <c r="K31" s="93">
        <f t="shared" si="23"/>
        <v>0</v>
      </c>
      <c r="L31" s="86">
        <v>0.01</v>
      </c>
      <c r="M31" s="87">
        <f t="shared" si="24"/>
        <v>0</v>
      </c>
      <c r="N31" s="93">
        <f t="shared" si="25"/>
        <v>0</v>
      </c>
      <c r="O31" s="86">
        <v>0.1</v>
      </c>
      <c r="P31" s="87">
        <f t="shared" si="26"/>
        <v>0</v>
      </c>
      <c r="Q31" s="86">
        <v>0.2</v>
      </c>
      <c r="R31" s="87">
        <f t="shared" si="27"/>
        <v>0</v>
      </c>
      <c r="S31" s="93">
        <f t="shared" si="28"/>
        <v>0</v>
      </c>
      <c r="T31" s="88">
        <v>0.05</v>
      </c>
      <c r="U31" s="89">
        <f t="shared" si="29"/>
        <v>0</v>
      </c>
      <c r="V31" s="88">
        <v>0.5</v>
      </c>
      <c r="W31" s="89">
        <f t="shared" si="34"/>
        <v>0</v>
      </c>
      <c r="X31" s="93">
        <f t="shared" si="30"/>
        <v>0</v>
      </c>
      <c r="Y31" s="88">
        <v>0.04</v>
      </c>
      <c r="Z31" s="89">
        <f t="shared" si="17"/>
        <v>0</v>
      </c>
      <c r="AA31" s="93">
        <f t="shared" si="31"/>
        <v>0</v>
      </c>
      <c r="AB31" s="81">
        <f t="shared" si="32"/>
        <v>0</v>
      </c>
      <c r="AC31" s="82">
        <f t="shared" si="33"/>
        <v>1</v>
      </c>
      <c r="AD31" s="159">
        <f t="shared" si="18"/>
        <v>0</v>
      </c>
    </row>
    <row r="32" spans="1:30" x14ac:dyDescent="0.25">
      <c r="A32" s="46" t="s">
        <v>72</v>
      </c>
      <c r="B32" s="90"/>
      <c r="C32" s="91">
        <v>0.1</v>
      </c>
      <c r="D32" s="85">
        <f t="shared" si="19"/>
        <v>0</v>
      </c>
      <c r="E32" s="122">
        <v>0</v>
      </c>
      <c r="F32" s="123">
        <f t="shared" si="20"/>
        <v>0</v>
      </c>
      <c r="G32" s="122">
        <v>0</v>
      </c>
      <c r="H32" s="123">
        <f t="shared" si="21"/>
        <v>0</v>
      </c>
      <c r="I32" s="122">
        <v>0</v>
      </c>
      <c r="J32" s="123">
        <f t="shared" si="22"/>
        <v>0</v>
      </c>
      <c r="K32" s="93">
        <f t="shared" si="23"/>
        <v>0</v>
      </c>
      <c r="L32" s="86">
        <v>0.01</v>
      </c>
      <c r="M32" s="87">
        <f t="shared" si="24"/>
        <v>0</v>
      </c>
      <c r="N32" s="93">
        <f t="shared" si="25"/>
        <v>0</v>
      </c>
      <c r="O32" s="86">
        <v>0.1</v>
      </c>
      <c r="P32" s="87">
        <f t="shared" si="26"/>
        <v>0</v>
      </c>
      <c r="Q32" s="86">
        <v>0.2</v>
      </c>
      <c r="R32" s="87">
        <f t="shared" si="27"/>
        <v>0</v>
      </c>
      <c r="S32" s="93">
        <f t="shared" si="28"/>
        <v>0</v>
      </c>
      <c r="T32" s="88">
        <v>0.05</v>
      </c>
      <c r="U32" s="89">
        <f t="shared" si="29"/>
        <v>0</v>
      </c>
      <c r="V32" s="88">
        <v>0.3</v>
      </c>
      <c r="W32" s="89">
        <f t="shared" si="34"/>
        <v>0</v>
      </c>
      <c r="X32" s="93">
        <f t="shared" si="30"/>
        <v>0</v>
      </c>
      <c r="Y32" s="88">
        <v>0.24</v>
      </c>
      <c r="Z32" s="89">
        <f t="shared" si="17"/>
        <v>0</v>
      </c>
      <c r="AA32" s="93">
        <f t="shared" si="31"/>
        <v>0</v>
      </c>
      <c r="AB32" s="81">
        <f t="shared" si="32"/>
        <v>0</v>
      </c>
      <c r="AC32" s="82">
        <f t="shared" si="33"/>
        <v>1</v>
      </c>
      <c r="AD32" s="159">
        <f t="shared" si="18"/>
        <v>0</v>
      </c>
    </row>
    <row r="33" spans="1:30" x14ac:dyDescent="0.25">
      <c r="A33" s="46" t="s">
        <v>52</v>
      </c>
      <c r="B33" s="90">
        <v>7900</v>
      </c>
      <c r="C33" s="91">
        <v>0.1</v>
      </c>
      <c r="D33" s="85">
        <f t="shared" si="19"/>
        <v>790</v>
      </c>
      <c r="E33" s="122">
        <v>0</v>
      </c>
      <c r="F33" s="123">
        <f t="shared" si="20"/>
        <v>0</v>
      </c>
      <c r="G33" s="122">
        <v>0</v>
      </c>
      <c r="H33" s="123">
        <f t="shared" si="21"/>
        <v>0</v>
      </c>
      <c r="I33" s="122">
        <v>0</v>
      </c>
      <c r="J33" s="123">
        <f t="shared" si="22"/>
        <v>0</v>
      </c>
      <c r="K33" s="93">
        <f t="shared" si="23"/>
        <v>0</v>
      </c>
      <c r="L33" s="86">
        <v>0.01</v>
      </c>
      <c r="M33" s="87">
        <f t="shared" si="24"/>
        <v>79</v>
      </c>
      <c r="N33" s="93">
        <f t="shared" si="25"/>
        <v>79</v>
      </c>
      <c r="O33" s="86">
        <v>0.1</v>
      </c>
      <c r="P33" s="87">
        <f t="shared" si="26"/>
        <v>790</v>
      </c>
      <c r="Q33" s="86">
        <v>0.2</v>
      </c>
      <c r="R33" s="87">
        <f t="shared" si="27"/>
        <v>1580</v>
      </c>
      <c r="S33" s="93">
        <f t="shared" si="28"/>
        <v>2370</v>
      </c>
      <c r="T33" s="88">
        <v>0.05</v>
      </c>
      <c r="U33" s="89">
        <f t="shared" si="29"/>
        <v>395</v>
      </c>
      <c r="V33" s="88">
        <v>0.54</v>
      </c>
      <c r="W33" s="89">
        <f t="shared" si="34"/>
        <v>4266</v>
      </c>
      <c r="X33" s="93">
        <f t="shared" si="30"/>
        <v>4661</v>
      </c>
      <c r="Y33" s="88">
        <v>0</v>
      </c>
      <c r="Z33" s="89">
        <f t="shared" si="17"/>
        <v>0</v>
      </c>
      <c r="AA33" s="93">
        <f t="shared" si="31"/>
        <v>0</v>
      </c>
      <c r="AB33" s="81">
        <f t="shared" si="32"/>
        <v>0</v>
      </c>
      <c r="AC33" s="82">
        <f t="shared" si="33"/>
        <v>1</v>
      </c>
      <c r="AD33" s="159">
        <f t="shared" si="18"/>
        <v>2370</v>
      </c>
    </row>
    <row r="34" spans="1:30" x14ac:dyDescent="0.25">
      <c r="A34" s="46" t="s">
        <v>189</v>
      </c>
      <c r="B34" s="90">
        <v>244522</v>
      </c>
      <c r="C34" s="91">
        <v>0.1</v>
      </c>
      <c r="D34" s="85">
        <f t="shared" si="19"/>
        <v>24452.2</v>
      </c>
      <c r="E34" s="122">
        <v>0</v>
      </c>
      <c r="F34" s="123">
        <f t="shared" si="20"/>
        <v>0</v>
      </c>
      <c r="G34" s="122">
        <v>0</v>
      </c>
      <c r="H34" s="123">
        <f t="shared" si="21"/>
        <v>0</v>
      </c>
      <c r="I34" s="122">
        <v>0</v>
      </c>
      <c r="J34" s="123">
        <f t="shared" si="22"/>
        <v>0</v>
      </c>
      <c r="K34" s="93">
        <f t="shared" si="23"/>
        <v>0</v>
      </c>
      <c r="L34" s="86">
        <v>0.01</v>
      </c>
      <c r="M34" s="87">
        <f t="shared" si="24"/>
        <v>2445.2200000000003</v>
      </c>
      <c r="N34" s="93">
        <f t="shared" si="25"/>
        <v>2445.2200000000003</v>
      </c>
      <c r="O34" s="86">
        <v>0.1</v>
      </c>
      <c r="P34" s="87">
        <f t="shared" si="26"/>
        <v>24452.2</v>
      </c>
      <c r="Q34" s="86">
        <v>0.2</v>
      </c>
      <c r="R34" s="87">
        <f t="shared" si="27"/>
        <v>48904.4</v>
      </c>
      <c r="S34" s="93">
        <f t="shared" si="28"/>
        <v>73356.600000000006</v>
      </c>
      <c r="T34" s="88">
        <v>0.05</v>
      </c>
      <c r="U34" s="89">
        <f t="shared" si="29"/>
        <v>12226.1</v>
      </c>
      <c r="V34" s="88">
        <v>0.54</v>
      </c>
      <c r="W34" s="89">
        <f t="shared" si="34"/>
        <v>132041.88</v>
      </c>
      <c r="X34" s="93">
        <f t="shared" si="30"/>
        <v>144267.98000000001</v>
      </c>
      <c r="Y34" s="88">
        <v>0</v>
      </c>
      <c r="Z34" s="89">
        <f t="shared" si="17"/>
        <v>0</v>
      </c>
      <c r="AA34" s="93">
        <f t="shared" si="31"/>
        <v>0</v>
      </c>
      <c r="AB34" s="81">
        <f t="shared" si="32"/>
        <v>0</v>
      </c>
      <c r="AC34" s="82">
        <f t="shared" si="33"/>
        <v>1</v>
      </c>
      <c r="AD34" s="159">
        <f t="shared" si="18"/>
        <v>73356.600000000006</v>
      </c>
    </row>
    <row r="35" spans="1:30" x14ac:dyDescent="0.25">
      <c r="A35" s="46" t="s">
        <v>190</v>
      </c>
      <c r="B35" s="90"/>
      <c r="C35" s="91">
        <v>0.1</v>
      </c>
      <c r="D35" s="85">
        <f t="shared" si="19"/>
        <v>0</v>
      </c>
      <c r="E35" s="122">
        <v>0</v>
      </c>
      <c r="F35" s="123">
        <f t="shared" si="20"/>
        <v>0</v>
      </c>
      <c r="G35" s="122">
        <v>0</v>
      </c>
      <c r="H35" s="123">
        <f t="shared" si="21"/>
        <v>0</v>
      </c>
      <c r="I35" s="122">
        <v>0</v>
      </c>
      <c r="J35" s="123">
        <f t="shared" si="22"/>
        <v>0</v>
      </c>
      <c r="K35" s="93">
        <f t="shared" si="23"/>
        <v>0</v>
      </c>
      <c r="L35" s="86">
        <v>0.01</v>
      </c>
      <c r="M35" s="87">
        <f t="shared" si="24"/>
        <v>0</v>
      </c>
      <c r="N35" s="93">
        <f t="shared" si="25"/>
        <v>0</v>
      </c>
      <c r="O35" s="86">
        <v>0.1</v>
      </c>
      <c r="P35" s="87">
        <f t="shared" si="26"/>
        <v>0</v>
      </c>
      <c r="Q35" s="86">
        <v>0.2</v>
      </c>
      <c r="R35" s="87">
        <f t="shared" si="27"/>
        <v>0</v>
      </c>
      <c r="S35" s="93">
        <f t="shared" si="28"/>
        <v>0</v>
      </c>
      <c r="T35" s="88">
        <v>0.05</v>
      </c>
      <c r="U35" s="89">
        <f t="shared" si="29"/>
        <v>0</v>
      </c>
      <c r="V35" s="88">
        <v>0.54</v>
      </c>
      <c r="W35" s="89">
        <f t="shared" si="34"/>
        <v>0</v>
      </c>
      <c r="X35" s="93">
        <f t="shared" si="30"/>
        <v>0</v>
      </c>
      <c r="Y35" s="88">
        <v>0</v>
      </c>
      <c r="Z35" s="89">
        <f t="shared" si="17"/>
        <v>0</v>
      </c>
      <c r="AA35" s="93">
        <f t="shared" si="31"/>
        <v>0</v>
      </c>
      <c r="AB35" s="81">
        <f t="shared" si="32"/>
        <v>0</v>
      </c>
      <c r="AC35" s="82">
        <f t="shared" si="33"/>
        <v>1</v>
      </c>
      <c r="AD35" s="159">
        <f t="shared" si="18"/>
        <v>0</v>
      </c>
    </row>
    <row r="36" spans="1:30" x14ac:dyDescent="0.25">
      <c r="A36" s="46" t="s">
        <v>6</v>
      </c>
      <c r="B36" s="90">
        <v>300000</v>
      </c>
      <c r="C36" s="91">
        <v>0.1</v>
      </c>
      <c r="D36" s="85">
        <f t="shared" si="19"/>
        <v>30000</v>
      </c>
      <c r="E36" s="122">
        <v>0</v>
      </c>
      <c r="F36" s="123">
        <f t="shared" si="20"/>
        <v>0</v>
      </c>
      <c r="G36" s="122">
        <v>0</v>
      </c>
      <c r="H36" s="123">
        <f t="shared" si="21"/>
        <v>0</v>
      </c>
      <c r="I36" s="122">
        <v>0</v>
      </c>
      <c r="J36" s="123">
        <f t="shared" si="22"/>
        <v>0</v>
      </c>
      <c r="K36" s="93">
        <f t="shared" si="23"/>
        <v>0</v>
      </c>
      <c r="L36" s="86">
        <v>0</v>
      </c>
      <c r="M36" s="87">
        <f t="shared" si="24"/>
        <v>0</v>
      </c>
      <c r="N36" s="93">
        <f t="shared" si="25"/>
        <v>0</v>
      </c>
      <c r="O36" s="86">
        <v>0</v>
      </c>
      <c r="P36" s="87">
        <f t="shared" si="26"/>
        <v>0</v>
      </c>
      <c r="Q36" s="86">
        <v>0</v>
      </c>
      <c r="R36" s="87">
        <f t="shared" si="27"/>
        <v>0</v>
      </c>
      <c r="S36" s="93">
        <f t="shared" si="28"/>
        <v>0</v>
      </c>
      <c r="T36" s="88">
        <v>0</v>
      </c>
      <c r="U36" s="89">
        <f t="shared" si="29"/>
        <v>0</v>
      </c>
      <c r="V36" s="88">
        <v>0.2</v>
      </c>
      <c r="W36" s="89">
        <f t="shared" si="34"/>
        <v>60000</v>
      </c>
      <c r="X36" s="93">
        <f t="shared" si="30"/>
        <v>60000</v>
      </c>
      <c r="Y36" s="88">
        <v>0.7</v>
      </c>
      <c r="Z36" s="89">
        <f t="shared" si="17"/>
        <v>210000</v>
      </c>
      <c r="AA36" s="93">
        <f t="shared" si="31"/>
        <v>210000</v>
      </c>
      <c r="AB36" s="81">
        <f t="shared" si="32"/>
        <v>0</v>
      </c>
      <c r="AC36" s="82">
        <f t="shared" si="33"/>
        <v>1</v>
      </c>
      <c r="AD36" s="159">
        <f t="shared" si="18"/>
        <v>210000</v>
      </c>
    </row>
    <row r="37" spans="1:30" x14ac:dyDescent="0.25">
      <c r="A37" s="46" t="s">
        <v>191</v>
      </c>
      <c r="B37" s="90">
        <v>188981</v>
      </c>
      <c r="C37" s="91">
        <v>0.1</v>
      </c>
      <c r="D37" s="85">
        <f t="shared" si="19"/>
        <v>18898.100000000002</v>
      </c>
      <c r="E37" s="122">
        <v>0</v>
      </c>
      <c r="F37" s="123">
        <f t="shared" si="20"/>
        <v>0</v>
      </c>
      <c r="G37" s="122">
        <v>0</v>
      </c>
      <c r="H37" s="123">
        <f t="shared" si="21"/>
        <v>0</v>
      </c>
      <c r="I37" s="122">
        <v>0</v>
      </c>
      <c r="J37" s="123">
        <f t="shared" si="22"/>
        <v>0</v>
      </c>
      <c r="K37" s="93">
        <f t="shared" si="23"/>
        <v>0</v>
      </c>
      <c r="L37" s="86">
        <v>0.01</v>
      </c>
      <c r="M37" s="87">
        <f t="shared" si="24"/>
        <v>1889.81</v>
      </c>
      <c r="N37" s="93">
        <f t="shared" si="25"/>
        <v>1889.81</v>
      </c>
      <c r="O37" s="86">
        <v>0.05</v>
      </c>
      <c r="P37" s="87">
        <f t="shared" si="26"/>
        <v>9449.0500000000011</v>
      </c>
      <c r="Q37" s="86">
        <v>0.1</v>
      </c>
      <c r="R37" s="87">
        <f t="shared" si="27"/>
        <v>18898.100000000002</v>
      </c>
      <c r="S37" s="93">
        <f t="shared" si="28"/>
        <v>28347.15</v>
      </c>
      <c r="T37" s="88">
        <v>0.02</v>
      </c>
      <c r="U37" s="89">
        <f t="shared" si="29"/>
        <v>3779.62</v>
      </c>
      <c r="V37" s="88">
        <v>0.4</v>
      </c>
      <c r="W37" s="89">
        <f t="shared" si="34"/>
        <v>75592.400000000009</v>
      </c>
      <c r="X37" s="93">
        <f t="shared" si="30"/>
        <v>79372.02</v>
      </c>
      <c r="Y37" s="88">
        <v>0.32</v>
      </c>
      <c r="Z37" s="89">
        <f t="shared" si="17"/>
        <v>60473.919999999998</v>
      </c>
      <c r="AA37" s="93">
        <f t="shared" si="31"/>
        <v>60473.919999999998</v>
      </c>
      <c r="AB37" s="81">
        <f t="shared" si="32"/>
        <v>0</v>
      </c>
      <c r="AC37" s="82">
        <f t="shared" si="33"/>
        <v>1</v>
      </c>
      <c r="AD37" s="159">
        <f t="shared" si="18"/>
        <v>88821.07</v>
      </c>
    </row>
    <row r="38" spans="1:30" x14ac:dyDescent="0.25">
      <c r="A38" s="46" t="s">
        <v>269</v>
      </c>
      <c r="B38" s="90">
        <v>3934</v>
      </c>
      <c r="C38" s="91">
        <v>0</v>
      </c>
      <c r="D38" s="85">
        <f t="shared" si="19"/>
        <v>0</v>
      </c>
      <c r="E38" s="122">
        <v>0</v>
      </c>
      <c r="F38" s="123">
        <f t="shared" si="20"/>
        <v>0</v>
      </c>
      <c r="G38" s="122">
        <v>0</v>
      </c>
      <c r="H38" s="123">
        <f t="shared" si="21"/>
        <v>0</v>
      </c>
      <c r="I38" s="122">
        <v>0</v>
      </c>
      <c r="J38" s="123">
        <f t="shared" si="22"/>
        <v>0</v>
      </c>
      <c r="K38" s="93">
        <f t="shared" si="23"/>
        <v>0</v>
      </c>
      <c r="L38" s="86">
        <v>0</v>
      </c>
      <c r="M38" s="87">
        <f t="shared" si="24"/>
        <v>0</v>
      </c>
      <c r="N38" s="93">
        <f t="shared" si="25"/>
        <v>0</v>
      </c>
      <c r="O38" s="86">
        <v>0</v>
      </c>
      <c r="P38" s="87">
        <f t="shared" si="26"/>
        <v>0</v>
      </c>
      <c r="Q38" s="86">
        <v>1</v>
      </c>
      <c r="R38" s="87">
        <f t="shared" si="27"/>
        <v>3934</v>
      </c>
      <c r="S38" s="93">
        <f t="shared" si="28"/>
        <v>3934</v>
      </c>
      <c r="T38" s="88">
        <v>0</v>
      </c>
      <c r="U38" s="89">
        <f t="shared" si="29"/>
        <v>0</v>
      </c>
      <c r="V38" s="88">
        <v>0</v>
      </c>
      <c r="W38" s="89">
        <f t="shared" si="34"/>
        <v>0</v>
      </c>
      <c r="X38" s="93">
        <f t="shared" si="30"/>
        <v>0</v>
      </c>
      <c r="Y38" s="88">
        <v>0</v>
      </c>
      <c r="Z38" s="89">
        <f t="shared" si="17"/>
        <v>0</v>
      </c>
      <c r="AA38" s="93">
        <f t="shared" si="31"/>
        <v>0</v>
      </c>
      <c r="AB38" s="81">
        <f t="shared" si="32"/>
        <v>0</v>
      </c>
      <c r="AC38" s="82">
        <f t="shared" si="33"/>
        <v>1</v>
      </c>
      <c r="AD38" s="159">
        <f t="shared" si="18"/>
        <v>3934</v>
      </c>
    </row>
    <row r="39" spans="1:30" x14ac:dyDescent="0.25">
      <c r="A39" s="46" t="s">
        <v>192</v>
      </c>
      <c r="B39" s="90">
        <v>99296</v>
      </c>
      <c r="C39" s="91">
        <v>0.1</v>
      </c>
      <c r="D39" s="85">
        <f t="shared" si="19"/>
        <v>9929.6</v>
      </c>
      <c r="E39" s="122">
        <v>0</v>
      </c>
      <c r="F39" s="123">
        <f t="shared" si="20"/>
        <v>0</v>
      </c>
      <c r="G39" s="122">
        <v>0</v>
      </c>
      <c r="H39" s="123">
        <f t="shared" si="21"/>
        <v>0</v>
      </c>
      <c r="I39" s="122">
        <v>0</v>
      </c>
      <c r="J39" s="123">
        <f t="shared" si="22"/>
        <v>0</v>
      </c>
      <c r="K39" s="93">
        <f t="shared" si="23"/>
        <v>0</v>
      </c>
      <c r="L39" s="86">
        <v>0.01</v>
      </c>
      <c r="M39" s="87">
        <f t="shared" si="24"/>
        <v>992.96</v>
      </c>
      <c r="N39" s="93">
        <f t="shared" si="25"/>
        <v>992.96</v>
      </c>
      <c r="O39" s="86">
        <v>0.1</v>
      </c>
      <c r="P39" s="87">
        <f t="shared" si="26"/>
        <v>9929.6</v>
      </c>
      <c r="Q39" s="86">
        <v>0.1</v>
      </c>
      <c r="R39" s="87">
        <f t="shared" si="27"/>
        <v>9929.6</v>
      </c>
      <c r="S39" s="93">
        <f t="shared" si="28"/>
        <v>19859.2</v>
      </c>
      <c r="T39" s="88">
        <v>0.1</v>
      </c>
      <c r="U39" s="89">
        <f t="shared" si="29"/>
        <v>9929.6</v>
      </c>
      <c r="V39" s="88">
        <v>0.59</v>
      </c>
      <c r="W39" s="89">
        <f t="shared" si="34"/>
        <v>58584.639999999999</v>
      </c>
      <c r="X39" s="93">
        <f t="shared" si="30"/>
        <v>68514.240000000005</v>
      </c>
      <c r="Y39" s="88">
        <v>0</v>
      </c>
      <c r="Z39" s="89">
        <f t="shared" si="17"/>
        <v>0</v>
      </c>
      <c r="AA39" s="93">
        <f t="shared" si="31"/>
        <v>0</v>
      </c>
      <c r="AB39" s="81">
        <f t="shared" si="32"/>
        <v>0</v>
      </c>
      <c r="AC39" s="82">
        <f t="shared" si="33"/>
        <v>1</v>
      </c>
      <c r="AD39" s="159">
        <f t="shared" si="18"/>
        <v>19859.2</v>
      </c>
    </row>
    <row r="40" spans="1:30" x14ac:dyDescent="0.25">
      <c r="A40" s="46" t="s">
        <v>247</v>
      </c>
      <c r="B40" s="90">
        <f>18600+120007</f>
        <v>138607</v>
      </c>
      <c r="C40" s="91">
        <v>0.1</v>
      </c>
      <c r="D40" s="85">
        <f t="shared" si="19"/>
        <v>13860.7</v>
      </c>
      <c r="E40" s="122">
        <v>0</v>
      </c>
      <c r="F40" s="123">
        <f t="shared" si="20"/>
        <v>0</v>
      </c>
      <c r="G40" s="122">
        <v>0</v>
      </c>
      <c r="H40" s="123">
        <f t="shared" si="21"/>
        <v>0</v>
      </c>
      <c r="I40" s="122">
        <v>0</v>
      </c>
      <c r="J40" s="123">
        <f t="shared" si="22"/>
        <v>0</v>
      </c>
      <c r="K40" s="93">
        <f t="shared" si="23"/>
        <v>0</v>
      </c>
      <c r="L40" s="86">
        <v>0.01</v>
      </c>
      <c r="M40" s="87">
        <f t="shared" si="24"/>
        <v>1386.07</v>
      </c>
      <c r="N40" s="93">
        <f t="shared" si="25"/>
        <v>1386.07</v>
      </c>
      <c r="O40" s="86">
        <v>0.1</v>
      </c>
      <c r="P40" s="87">
        <f t="shared" si="26"/>
        <v>13860.7</v>
      </c>
      <c r="Q40" s="86">
        <v>0.1</v>
      </c>
      <c r="R40" s="87">
        <f t="shared" si="27"/>
        <v>13860.7</v>
      </c>
      <c r="S40" s="93">
        <f t="shared" si="28"/>
        <v>27721.4</v>
      </c>
      <c r="T40" s="88">
        <v>0.1</v>
      </c>
      <c r="U40" s="89">
        <f t="shared" si="29"/>
        <v>13860.7</v>
      </c>
      <c r="V40" s="88">
        <v>0.59</v>
      </c>
      <c r="W40" s="89">
        <f t="shared" si="34"/>
        <v>81778.12999999999</v>
      </c>
      <c r="X40" s="93">
        <f t="shared" si="30"/>
        <v>95638.829999999987</v>
      </c>
      <c r="Y40" s="88">
        <v>0</v>
      </c>
      <c r="Z40" s="89">
        <f t="shared" si="17"/>
        <v>0</v>
      </c>
      <c r="AA40" s="93">
        <f t="shared" si="31"/>
        <v>0</v>
      </c>
      <c r="AB40" s="81">
        <f t="shared" si="32"/>
        <v>0</v>
      </c>
      <c r="AC40" s="82">
        <f t="shared" si="33"/>
        <v>1</v>
      </c>
      <c r="AD40" s="159">
        <f t="shared" si="18"/>
        <v>27721.4</v>
      </c>
    </row>
    <row r="41" spans="1:30" x14ac:dyDescent="0.25">
      <c r="A41" s="46" t="s">
        <v>48</v>
      </c>
      <c r="B41" s="90">
        <f>45000+53000+40000</f>
        <v>138000</v>
      </c>
      <c r="C41" s="91">
        <v>0.1</v>
      </c>
      <c r="D41" s="85">
        <f t="shared" si="19"/>
        <v>13800</v>
      </c>
      <c r="E41" s="122">
        <v>0</v>
      </c>
      <c r="F41" s="123">
        <f t="shared" si="20"/>
        <v>0</v>
      </c>
      <c r="G41" s="122">
        <v>0</v>
      </c>
      <c r="H41" s="123">
        <f t="shared" si="21"/>
        <v>0</v>
      </c>
      <c r="I41" s="122">
        <v>0</v>
      </c>
      <c r="J41" s="123">
        <f t="shared" si="22"/>
        <v>0</v>
      </c>
      <c r="K41" s="93">
        <f t="shared" si="23"/>
        <v>0</v>
      </c>
      <c r="L41" s="86">
        <v>0.01</v>
      </c>
      <c r="M41" s="87">
        <f t="shared" si="24"/>
        <v>1380</v>
      </c>
      <c r="N41" s="93">
        <f t="shared" si="25"/>
        <v>1380</v>
      </c>
      <c r="O41" s="86">
        <v>0.1</v>
      </c>
      <c r="P41" s="87">
        <f t="shared" si="26"/>
        <v>13800</v>
      </c>
      <c r="Q41" s="86">
        <v>0.1</v>
      </c>
      <c r="R41" s="87">
        <f t="shared" si="27"/>
        <v>13800</v>
      </c>
      <c r="S41" s="93">
        <f t="shared" si="28"/>
        <v>27600</v>
      </c>
      <c r="T41" s="88">
        <v>0.1</v>
      </c>
      <c r="U41" s="89">
        <f t="shared" si="29"/>
        <v>13800</v>
      </c>
      <c r="V41" s="88">
        <v>0.59</v>
      </c>
      <c r="W41" s="89">
        <f t="shared" si="34"/>
        <v>81420</v>
      </c>
      <c r="X41" s="93">
        <f t="shared" si="30"/>
        <v>95220</v>
      </c>
      <c r="Y41" s="88">
        <v>0</v>
      </c>
      <c r="Z41" s="89">
        <f t="shared" si="17"/>
        <v>0</v>
      </c>
      <c r="AA41" s="93">
        <f t="shared" si="31"/>
        <v>0</v>
      </c>
      <c r="AB41" s="81">
        <f t="shared" si="32"/>
        <v>0</v>
      </c>
      <c r="AC41" s="82">
        <f t="shared" si="33"/>
        <v>1</v>
      </c>
      <c r="AD41" s="159">
        <f t="shared" si="18"/>
        <v>27600</v>
      </c>
    </row>
    <row r="42" spans="1:30" x14ac:dyDescent="0.25">
      <c r="A42" s="46" t="s">
        <v>49</v>
      </c>
      <c r="B42" s="90">
        <v>23949</v>
      </c>
      <c r="C42" s="91">
        <v>0.1</v>
      </c>
      <c r="D42" s="85">
        <f t="shared" si="19"/>
        <v>2394.9</v>
      </c>
      <c r="E42" s="122">
        <v>0</v>
      </c>
      <c r="F42" s="123">
        <f t="shared" si="20"/>
        <v>0</v>
      </c>
      <c r="G42" s="122">
        <v>0</v>
      </c>
      <c r="H42" s="123">
        <f t="shared" si="21"/>
        <v>0</v>
      </c>
      <c r="I42" s="122">
        <v>0</v>
      </c>
      <c r="J42" s="123">
        <f t="shared" si="22"/>
        <v>0</v>
      </c>
      <c r="K42" s="93">
        <f t="shared" si="23"/>
        <v>0</v>
      </c>
      <c r="L42" s="86">
        <v>0.01</v>
      </c>
      <c r="M42" s="87">
        <f t="shared" si="24"/>
        <v>239.49</v>
      </c>
      <c r="N42" s="93">
        <f t="shared" si="25"/>
        <v>239.49</v>
      </c>
      <c r="O42" s="86">
        <v>0.1</v>
      </c>
      <c r="P42" s="87">
        <f t="shared" si="26"/>
        <v>2394.9</v>
      </c>
      <c r="Q42" s="86">
        <v>0.2</v>
      </c>
      <c r="R42" s="87">
        <f t="shared" si="27"/>
        <v>4789.8</v>
      </c>
      <c r="S42" s="93">
        <f t="shared" si="28"/>
        <v>7184.7000000000007</v>
      </c>
      <c r="T42" s="88">
        <v>0.1</v>
      </c>
      <c r="U42" s="89">
        <f t="shared" si="29"/>
        <v>2394.9</v>
      </c>
      <c r="V42" s="88">
        <v>0.49</v>
      </c>
      <c r="W42" s="89">
        <f t="shared" si="34"/>
        <v>11735.01</v>
      </c>
      <c r="X42" s="93">
        <f t="shared" si="30"/>
        <v>14129.91</v>
      </c>
      <c r="Y42" s="88">
        <v>0</v>
      </c>
      <c r="Z42" s="89">
        <f t="shared" si="17"/>
        <v>0</v>
      </c>
      <c r="AA42" s="93">
        <f t="shared" si="31"/>
        <v>0</v>
      </c>
      <c r="AB42" s="81">
        <f t="shared" si="32"/>
        <v>0</v>
      </c>
      <c r="AC42" s="82">
        <f t="shared" si="33"/>
        <v>1</v>
      </c>
      <c r="AD42" s="159">
        <f t="shared" si="18"/>
        <v>7184.7000000000007</v>
      </c>
    </row>
    <row r="43" spans="1:30" x14ac:dyDescent="0.25">
      <c r="A43" s="46" t="s">
        <v>193</v>
      </c>
      <c r="B43" s="90">
        <v>351136</v>
      </c>
      <c r="C43" s="91">
        <v>0</v>
      </c>
      <c r="D43" s="85">
        <f t="shared" si="19"/>
        <v>0</v>
      </c>
      <c r="E43" s="122">
        <v>0</v>
      </c>
      <c r="F43" s="123">
        <f t="shared" si="20"/>
        <v>0</v>
      </c>
      <c r="G43" s="122">
        <v>0</v>
      </c>
      <c r="H43" s="123">
        <f t="shared" si="21"/>
        <v>0</v>
      </c>
      <c r="I43" s="122">
        <v>0</v>
      </c>
      <c r="J43" s="123">
        <f t="shared" si="22"/>
        <v>0</v>
      </c>
      <c r="K43" s="93">
        <f t="shared" si="23"/>
        <v>0</v>
      </c>
      <c r="L43" s="86">
        <v>0</v>
      </c>
      <c r="M43" s="87">
        <f t="shared" si="24"/>
        <v>0</v>
      </c>
      <c r="N43" s="93">
        <f t="shared" si="25"/>
        <v>0</v>
      </c>
      <c r="O43" s="86">
        <v>0</v>
      </c>
      <c r="P43" s="87">
        <f t="shared" si="26"/>
        <v>0</v>
      </c>
      <c r="Q43" s="86">
        <v>1</v>
      </c>
      <c r="R43" s="87">
        <f t="shared" si="27"/>
        <v>351136</v>
      </c>
      <c r="S43" s="93">
        <f t="shared" si="28"/>
        <v>351136</v>
      </c>
      <c r="T43" s="88">
        <v>0</v>
      </c>
      <c r="U43" s="89">
        <f t="shared" si="29"/>
        <v>0</v>
      </c>
      <c r="V43" s="88">
        <v>0</v>
      </c>
      <c r="W43" s="89">
        <f t="shared" si="34"/>
        <v>0</v>
      </c>
      <c r="X43" s="93">
        <f t="shared" si="30"/>
        <v>0</v>
      </c>
      <c r="Y43" s="88">
        <v>0</v>
      </c>
      <c r="Z43" s="89">
        <f t="shared" si="17"/>
        <v>0</v>
      </c>
      <c r="AA43" s="93">
        <f t="shared" si="31"/>
        <v>0</v>
      </c>
      <c r="AB43" s="81">
        <f t="shared" si="32"/>
        <v>0</v>
      </c>
      <c r="AC43" s="82">
        <f t="shared" si="33"/>
        <v>1</v>
      </c>
      <c r="AD43" s="159">
        <f t="shared" si="18"/>
        <v>351136</v>
      </c>
    </row>
    <row r="44" spans="1:30" x14ac:dyDescent="0.25">
      <c r="A44" s="46" t="s">
        <v>213</v>
      </c>
      <c r="B44" s="90">
        <v>4500000</v>
      </c>
      <c r="C44" s="91">
        <v>0</v>
      </c>
      <c r="D44" s="85">
        <f t="shared" si="19"/>
        <v>0</v>
      </c>
      <c r="E44" s="122">
        <v>0</v>
      </c>
      <c r="F44" s="123">
        <f t="shared" si="20"/>
        <v>0</v>
      </c>
      <c r="G44" s="122">
        <v>0</v>
      </c>
      <c r="H44" s="123">
        <f t="shared" si="21"/>
        <v>0</v>
      </c>
      <c r="I44" s="122">
        <v>0</v>
      </c>
      <c r="J44" s="123">
        <f t="shared" si="22"/>
        <v>0</v>
      </c>
      <c r="K44" s="93">
        <f t="shared" si="23"/>
        <v>0</v>
      </c>
      <c r="L44" s="86">
        <v>1</v>
      </c>
      <c r="M44" s="87">
        <f t="shared" si="24"/>
        <v>4500000</v>
      </c>
      <c r="N44" s="93">
        <f t="shared" si="25"/>
        <v>4500000</v>
      </c>
      <c r="O44" s="86">
        <v>0</v>
      </c>
      <c r="P44" s="87">
        <f t="shared" si="26"/>
        <v>0</v>
      </c>
      <c r="Q44" s="86">
        <v>0</v>
      </c>
      <c r="R44" s="87">
        <f t="shared" si="27"/>
        <v>0</v>
      </c>
      <c r="S44" s="93">
        <f t="shared" si="28"/>
        <v>0</v>
      </c>
      <c r="T44" s="88">
        <v>0</v>
      </c>
      <c r="U44" s="89">
        <f t="shared" si="29"/>
        <v>0</v>
      </c>
      <c r="V44" s="88">
        <v>0</v>
      </c>
      <c r="W44" s="89">
        <f t="shared" si="34"/>
        <v>0</v>
      </c>
      <c r="X44" s="93">
        <f t="shared" si="30"/>
        <v>0</v>
      </c>
      <c r="Y44" s="88">
        <v>0</v>
      </c>
      <c r="Z44" s="89">
        <f t="shared" si="17"/>
        <v>0</v>
      </c>
      <c r="AA44" s="93">
        <f t="shared" si="31"/>
        <v>0</v>
      </c>
      <c r="AB44" s="81">
        <f t="shared" si="32"/>
        <v>0</v>
      </c>
      <c r="AC44" s="82">
        <f t="shared" si="33"/>
        <v>1</v>
      </c>
      <c r="AD44" s="159">
        <f t="shared" si="18"/>
        <v>0</v>
      </c>
    </row>
    <row r="45" spans="1:30" x14ac:dyDescent="0.25">
      <c r="A45" s="46" t="s">
        <v>264</v>
      </c>
      <c r="B45" s="90">
        <f>531200+10557000</f>
        <v>11088200</v>
      </c>
      <c r="C45" s="91">
        <v>0</v>
      </c>
      <c r="D45" s="85">
        <f t="shared" si="19"/>
        <v>0</v>
      </c>
      <c r="E45" s="122">
        <v>0</v>
      </c>
      <c r="F45" s="123">
        <f t="shared" si="20"/>
        <v>0</v>
      </c>
      <c r="G45" s="122">
        <v>0</v>
      </c>
      <c r="H45" s="123">
        <f t="shared" si="21"/>
        <v>0</v>
      </c>
      <c r="I45" s="122">
        <v>0</v>
      </c>
      <c r="J45" s="123">
        <f t="shared" si="22"/>
        <v>0</v>
      </c>
      <c r="K45" s="93">
        <f t="shared" si="23"/>
        <v>0</v>
      </c>
      <c r="L45" s="86">
        <v>1</v>
      </c>
      <c r="M45" s="87">
        <v>11088200</v>
      </c>
      <c r="N45" s="93">
        <f t="shared" si="25"/>
        <v>11088200</v>
      </c>
      <c r="O45" s="86">
        <v>0</v>
      </c>
      <c r="P45" s="87">
        <f t="shared" si="26"/>
        <v>0</v>
      </c>
      <c r="Q45" s="86">
        <v>0</v>
      </c>
      <c r="R45" s="87">
        <f t="shared" si="27"/>
        <v>0</v>
      </c>
      <c r="S45" s="93">
        <f t="shared" si="28"/>
        <v>0</v>
      </c>
      <c r="T45" s="88">
        <v>0</v>
      </c>
      <c r="U45" s="89">
        <f t="shared" si="29"/>
        <v>0</v>
      </c>
      <c r="V45" s="88">
        <v>0</v>
      </c>
      <c r="W45" s="89">
        <f t="shared" si="34"/>
        <v>0</v>
      </c>
      <c r="X45" s="93">
        <f t="shared" si="30"/>
        <v>0</v>
      </c>
      <c r="Y45" s="88">
        <v>0</v>
      </c>
      <c r="Z45" s="89">
        <f t="shared" si="17"/>
        <v>0</v>
      </c>
      <c r="AA45" s="93">
        <f t="shared" si="31"/>
        <v>0</v>
      </c>
      <c r="AB45" s="81">
        <f t="shared" si="32"/>
        <v>0</v>
      </c>
      <c r="AC45" s="82">
        <f t="shared" si="33"/>
        <v>1</v>
      </c>
      <c r="AD45" s="159">
        <f t="shared" si="18"/>
        <v>0</v>
      </c>
    </row>
    <row r="46" spans="1:30" x14ac:dyDescent="0.25">
      <c r="A46" s="46" t="s">
        <v>278</v>
      </c>
      <c r="B46" s="90">
        <v>2618300</v>
      </c>
      <c r="C46" s="91">
        <v>0</v>
      </c>
      <c r="D46" s="85">
        <f t="shared" ref="D46:D47" si="46">+B46*C46</f>
        <v>0</v>
      </c>
      <c r="E46" s="122">
        <v>0</v>
      </c>
      <c r="F46" s="123">
        <f t="shared" ref="F46" si="47">+B46*E46</f>
        <v>0</v>
      </c>
      <c r="G46" s="122">
        <v>0</v>
      </c>
      <c r="H46" s="123">
        <f t="shared" ref="H46" si="48">+B46*G46</f>
        <v>0</v>
      </c>
      <c r="I46" s="122">
        <v>0</v>
      </c>
      <c r="J46" s="123">
        <f t="shared" ref="J46" si="49">+B46*I46</f>
        <v>0</v>
      </c>
      <c r="K46" s="93">
        <f t="shared" ref="K46" si="50">+F46+H46+J46</f>
        <v>0</v>
      </c>
      <c r="L46" s="86">
        <v>0</v>
      </c>
      <c r="M46" s="87">
        <f t="shared" ref="M46" si="51">+L46*B46</f>
        <v>0</v>
      </c>
      <c r="N46" s="93">
        <f t="shared" si="25"/>
        <v>0</v>
      </c>
      <c r="O46" s="86">
        <v>0</v>
      </c>
      <c r="P46" s="87">
        <f t="shared" ref="P46" si="52">+O46*B46</f>
        <v>0</v>
      </c>
      <c r="Q46" s="86">
        <v>0</v>
      </c>
      <c r="R46" s="87">
        <f t="shared" ref="R46" si="53">+Q46*B46</f>
        <v>0</v>
      </c>
      <c r="S46" s="93">
        <f t="shared" si="28"/>
        <v>0</v>
      </c>
      <c r="T46" s="88">
        <v>0</v>
      </c>
      <c r="U46" s="89">
        <f t="shared" ref="U46" si="54">+T46*B46</f>
        <v>0</v>
      </c>
      <c r="V46" s="88">
        <v>0</v>
      </c>
      <c r="W46" s="89">
        <f t="shared" ref="W46" si="55">+V46*B46</f>
        <v>0</v>
      </c>
      <c r="X46" s="93">
        <f t="shared" si="30"/>
        <v>0</v>
      </c>
      <c r="Y46" s="88">
        <v>1</v>
      </c>
      <c r="Z46" s="89">
        <f t="shared" ref="Z46" si="56">+Y46*B46</f>
        <v>2618300</v>
      </c>
      <c r="AA46" s="93">
        <f t="shared" si="31"/>
        <v>2618300</v>
      </c>
      <c r="AB46" s="81">
        <f t="shared" si="32"/>
        <v>0</v>
      </c>
      <c r="AC46" s="82">
        <f t="shared" ref="AC46" si="57">+C46+E46+G46+I46+L46+O46+Q46+T46+V46+Y46</f>
        <v>1</v>
      </c>
      <c r="AD46" s="159">
        <f t="shared" ref="AD46" si="58">+AA46+S46+K46</f>
        <v>2618300</v>
      </c>
    </row>
    <row r="47" spans="1:30" x14ac:dyDescent="0.25">
      <c r="A47" s="46" t="s">
        <v>279</v>
      </c>
      <c r="B47" s="90">
        <v>47112772</v>
      </c>
      <c r="C47" s="91">
        <v>0</v>
      </c>
      <c r="D47" s="85">
        <f t="shared" si="46"/>
        <v>0</v>
      </c>
      <c r="E47" s="122">
        <v>0</v>
      </c>
      <c r="F47" s="123">
        <f t="shared" ref="F47" si="59">+B47*E47</f>
        <v>0</v>
      </c>
      <c r="G47" s="122">
        <v>0</v>
      </c>
      <c r="H47" s="123">
        <f t="shared" ref="H47" si="60">+B47*G47</f>
        <v>0</v>
      </c>
      <c r="I47" s="122">
        <v>0</v>
      </c>
      <c r="J47" s="123">
        <f t="shared" ref="J47" si="61">+B47*I47</f>
        <v>0</v>
      </c>
      <c r="K47" s="93">
        <f t="shared" ref="K47" si="62">+F47+H47+J47</f>
        <v>0</v>
      </c>
      <c r="L47" s="86">
        <v>0</v>
      </c>
      <c r="M47" s="87">
        <f t="shared" ref="M47" si="63">+L47*B47</f>
        <v>0</v>
      </c>
      <c r="N47" s="93">
        <f t="shared" si="25"/>
        <v>0</v>
      </c>
      <c r="O47" s="86">
        <v>0</v>
      </c>
      <c r="P47" s="87">
        <f t="shared" ref="P47" si="64">+O47*B47</f>
        <v>0</v>
      </c>
      <c r="Q47" s="86">
        <v>0</v>
      </c>
      <c r="R47" s="87">
        <f t="shared" ref="R47" si="65">+Q47*B47</f>
        <v>0</v>
      </c>
      <c r="S47" s="93">
        <f t="shared" si="28"/>
        <v>0</v>
      </c>
      <c r="T47" s="88">
        <v>0</v>
      </c>
      <c r="U47" s="89">
        <v>0</v>
      </c>
      <c r="V47" s="88">
        <v>0</v>
      </c>
      <c r="W47" s="89">
        <f t="shared" ref="W47" si="66">+V47*B47</f>
        <v>0</v>
      </c>
      <c r="X47" s="93">
        <f t="shared" si="30"/>
        <v>0</v>
      </c>
      <c r="Y47" s="88">
        <v>1</v>
      </c>
      <c r="Z47" s="89">
        <f t="shared" ref="Z47" si="67">+Y47*B47</f>
        <v>47112772</v>
      </c>
      <c r="AA47" s="93">
        <f t="shared" si="31"/>
        <v>47112772</v>
      </c>
      <c r="AB47" s="81">
        <f t="shared" si="32"/>
        <v>0</v>
      </c>
      <c r="AC47" s="82">
        <f t="shared" ref="AC47" si="68">+C47+E47+G47+I47+L47+O47+Q47+T47+V47+Y47</f>
        <v>1</v>
      </c>
      <c r="AD47" s="159">
        <f t="shared" ref="AD47" si="69">+AA47+S47+K47</f>
        <v>47112772</v>
      </c>
    </row>
    <row r="48" spans="1:30" x14ac:dyDescent="0.25">
      <c r="A48" s="46" t="s">
        <v>232</v>
      </c>
      <c r="B48" s="90">
        <f>100000+800000</f>
        <v>900000</v>
      </c>
      <c r="C48" s="91">
        <v>0</v>
      </c>
      <c r="D48" s="85">
        <f t="shared" si="19"/>
        <v>0</v>
      </c>
      <c r="E48" s="122">
        <v>0</v>
      </c>
      <c r="F48" s="123">
        <f t="shared" si="20"/>
        <v>0</v>
      </c>
      <c r="G48" s="122">
        <v>0</v>
      </c>
      <c r="H48" s="123">
        <f t="shared" si="21"/>
        <v>0</v>
      </c>
      <c r="I48" s="122">
        <v>0</v>
      </c>
      <c r="J48" s="123">
        <f t="shared" si="22"/>
        <v>0</v>
      </c>
      <c r="K48" s="93">
        <f t="shared" si="23"/>
        <v>0</v>
      </c>
      <c r="L48" s="86">
        <v>0</v>
      </c>
      <c r="M48" s="87">
        <f t="shared" si="24"/>
        <v>0</v>
      </c>
      <c r="N48" s="93">
        <f t="shared" si="25"/>
        <v>0</v>
      </c>
      <c r="O48" s="86">
        <v>0</v>
      </c>
      <c r="P48" s="87">
        <f t="shared" si="26"/>
        <v>0</v>
      </c>
      <c r="Q48" s="86">
        <v>0</v>
      </c>
      <c r="R48" s="87">
        <f t="shared" si="27"/>
        <v>0</v>
      </c>
      <c r="S48" s="93">
        <f t="shared" si="28"/>
        <v>0</v>
      </c>
      <c r="T48" s="88">
        <v>0</v>
      </c>
      <c r="U48" s="89">
        <f t="shared" si="29"/>
        <v>0</v>
      </c>
      <c r="V48" s="88">
        <v>0.5</v>
      </c>
      <c r="W48" s="89">
        <f t="shared" si="34"/>
        <v>450000</v>
      </c>
      <c r="X48" s="93">
        <f t="shared" si="30"/>
        <v>450000</v>
      </c>
      <c r="Y48" s="88">
        <v>0.5</v>
      </c>
      <c r="Z48" s="89">
        <f t="shared" si="17"/>
        <v>450000</v>
      </c>
      <c r="AA48" s="93">
        <f t="shared" si="31"/>
        <v>450000</v>
      </c>
      <c r="AB48" s="81">
        <f t="shared" si="32"/>
        <v>0</v>
      </c>
      <c r="AC48" s="82">
        <f t="shared" si="33"/>
        <v>1</v>
      </c>
      <c r="AD48" s="159">
        <f t="shared" si="18"/>
        <v>450000</v>
      </c>
    </row>
    <row r="49" spans="1:30" x14ac:dyDescent="0.25">
      <c r="A49" s="46" t="s">
        <v>70</v>
      </c>
      <c r="B49" s="90"/>
      <c r="C49" s="91">
        <v>0.1</v>
      </c>
      <c r="D49" s="85">
        <f t="shared" si="19"/>
        <v>0</v>
      </c>
      <c r="E49" s="122">
        <v>0</v>
      </c>
      <c r="F49" s="123">
        <f t="shared" si="20"/>
        <v>0</v>
      </c>
      <c r="G49" s="122">
        <v>0</v>
      </c>
      <c r="H49" s="123">
        <f t="shared" si="21"/>
        <v>0</v>
      </c>
      <c r="I49" s="122">
        <v>0</v>
      </c>
      <c r="J49" s="123">
        <f t="shared" si="22"/>
        <v>0</v>
      </c>
      <c r="K49" s="93">
        <f t="shared" si="23"/>
        <v>0</v>
      </c>
      <c r="L49" s="86">
        <v>0.01</v>
      </c>
      <c r="M49" s="87">
        <f t="shared" si="24"/>
        <v>0</v>
      </c>
      <c r="N49" s="93">
        <f t="shared" si="25"/>
        <v>0</v>
      </c>
      <c r="O49" s="86">
        <v>0.1</v>
      </c>
      <c r="P49" s="87">
        <f t="shared" si="26"/>
        <v>0</v>
      </c>
      <c r="Q49" s="86">
        <v>0.2</v>
      </c>
      <c r="R49" s="87">
        <f t="shared" si="27"/>
        <v>0</v>
      </c>
      <c r="S49" s="93">
        <f t="shared" si="28"/>
        <v>0</v>
      </c>
      <c r="T49" s="88">
        <v>0.1</v>
      </c>
      <c r="U49" s="89">
        <f t="shared" si="29"/>
        <v>0</v>
      </c>
      <c r="V49" s="88">
        <v>0.49</v>
      </c>
      <c r="W49" s="89">
        <f t="shared" si="34"/>
        <v>0</v>
      </c>
      <c r="X49" s="93">
        <f t="shared" si="30"/>
        <v>0</v>
      </c>
      <c r="Y49" s="88">
        <v>0</v>
      </c>
      <c r="Z49" s="89">
        <f t="shared" si="17"/>
        <v>0</v>
      </c>
      <c r="AA49" s="93">
        <f t="shared" si="31"/>
        <v>0</v>
      </c>
      <c r="AB49" s="81">
        <f t="shared" si="32"/>
        <v>0</v>
      </c>
      <c r="AC49" s="82">
        <f t="shared" si="33"/>
        <v>1</v>
      </c>
      <c r="AD49" s="159">
        <f t="shared" si="18"/>
        <v>0</v>
      </c>
    </row>
    <row r="50" spans="1:30" x14ac:dyDescent="0.25">
      <c r="A50" s="46" t="s">
        <v>181</v>
      </c>
      <c r="B50" s="92">
        <f>SUM(B16:B49)</f>
        <v>76081859</v>
      </c>
      <c r="C50" s="44"/>
      <c r="D50" s="93">
        <f>SUM(D16:D49)</f>
        <v>403662</v>
      </c>
      <c r="E50" s="124"/>
      <c r="F50" s="125">
        <f>SUM(F16:F49)</f>
        <v>686988.7</v>
      </c>
      <c r="G50" s="124"/>
      <c r="H50" s="125">
        <f>SUM(H16:H49)</f>
        <v>680419.7</v>
      </c>
      <c r="I50" s="124"/>
      <c r="J50" s="125">
        <f>SUM(J16:J49)</f>
        <v>17004.32</v>
      </c>
      <c r="K50" s="93">
        <f>+J50+H50+F50</f>
        <v>1384412.7199999997</v>
      </c>
      <c r="L50" s="44"/>
      <c r="M50" s="95">
        <f>SUM(M16:M49)</f>
        <v>15623226.15</v>
      </c>
      <c r="N50" s="93">
        <f t="shared" si="25"/>
        <v>15623226.15</v>
      </c>
      <c r="O50" s="44"/>
      <c r="P50" s="95">
        <f>SUM(P16:P49)</f>
        <v>319870.84999999998</v>
      </c>
      <c r="Q50" s="44"/>
      <c r="R50" s="95">
        <f>SUM(R16:R49)</f>
        <v>712368.1</v>
      </c>
      <c r="S50" s="93">
        <f t="shared" si="28"/>
        <v>1032238.95</v>
      </c>
      <c r="T50" s="44"/>
      <c r="U50" s="94">
        <f>SUM(U16:U49)</f>
        <v>504828.23999999993</v>
      </c>
      <c r="V50" s="44"/>
      <c r="W50" s="94">
        <f>SUM(W16:W49)</f>
        <v>2097921.8199999998</v>
      </c>
      <c r="X50" s="93">
        <f t="shared" si="30"/>
        <v>2602750.0599999996</v>
      </c>
      <c r="Y50" s="79"/>
      <c r="Z50" s="94">
        <f>SUM(Z16:Z49)</f>
        <v>55035569.119999997</v>
      </c>
      <c r="AA50" s="93">
        <f t="shared" si="31"/>
        <v>55035569.119999997</v>
      </c>
      <c r="AB50" s="81">
        <f t="shared" si="32"/>
        <v>0</v>
      </c>
      <c r="AC50" s="82">
        <f t="shared" si="33"/>
        <v>0</v>
      </c>
      <c r="AD50" s="159">
        <f>SUM(AD16:AD49)</f>
        <v>57452220.789999999</v>
      </c>
    </row>
    <row r="53" spans="1:30" ht="30" x14ac:dyDescent="0.25">
      <c r="A53" s="71" t="s">
        <v>199</v>
      </c>
      <c r="B53" s="84" t="s">
        <v>180</v>
      </c>
      <c r="C53" s="74" t="s">
        <v>159</v>
      </c>
      <c r="D53" s="71" t="s">
        <v>176</v>
      </c>
      <c r="E53" s="106" t="s">
        <v>200</v>
      </c>
      <c r="F53" s="108" t="s">
        <v>176</v>
      </c>
      <c r="G53" s="80" t="s">
        <v>201</v>
      </c>
      <c r="H53" s="80" t="s">
        <v>202</v>
      </c>
      <c r="I53" s="99"/>
      <c r="J53" s="99"/>
      <c r="K53" s="99"/>
      <c r="L53" s="99"/>
      <c r="M53" s="99"/>
      <c r="N53" s="99"/>
      <c r="O53" s="99"/>
      <c r="P53" s="99"/>
      <c r="Q53" s="100"/>
      <c r="R53" s="100"/>
      <c r="S53" s="100"/>
      <c r="T53" s="99"/>
      <c r="U53" s="99"/>
      <c r="V53" s="100"/>
      <c r="W53" s="100"/>
      <c r="X53" s="100"/>
      <c r="Y53" s="100"/>
      <c r="Z53" s="100"/>
      <c r="AA53" s="100"/>
      <c r="AB53" s="101"/>
      <c r="AC53" s="101"/>
    </row>
    <row r="54" spans="1:30" x14ac:dyDescent="0.25">
      <c r="A54" s="46" t="s">
        <v>204</v>
      </c>
      <c r="B54" s="90">
        <v>8233928</v>
      </c>
      <c r="C54" s="91">
        <v>0.5</v>
      </c>
      <c r="D54" s="85">
        <f>+B54*C54</f>
        <v>4116964</v>
      </c>
      <c r="E54" s="107">
        <v>0.5</v>
      </c>
      <c r="F54" s="109">
        <f>+E54*B54</f>
        <v>4116964</v>
      </c>
      <c r="G54" s="110">
        <f>+C54+E54</f>
        <v>1</v>
      </c>
      <c r="H54" s="109">
        <f>+(F54+D54)-B54</f>
        <v>0</v>
      </c>
      <c r="I54" s="103"/>
      <c r="J54" s="102"/>
      <c r="K54" s="102"/>
      <c r="L54" s="103"/>
      <c r="M54" s="102"/>
      <c r="N54" s="102"/>
      <c r="O54" s="103"/>
      <c r="P54" s="102"/>
      <c r="Q54" s="103"/>
      <c r="R54" s="102"/>
      <c r="S54" s="102"/>
      <c r="T54" s="103"/>
      <c r="U54" s="102"/>
      <c r="V54" s="103"/>
      <c r="W54" s="102"/>
      <c r="X54" s="102"/>
      <c r="Y54" s="103"/>
      <c r="Z54" s="102"/>
      <c r="AA54" s="104"/>
      <c r="AB54" s="104"/>
      <c r="AC54" s="105"/>
    </row>
    <row r="55" spans="1:30" x14ac:dyDescent="0.25">
      <c r="A55" s="46" t="s">
        <v>205</v>
      </c>
      <c r="B55" s="90">
        <v>1173168</v>
      </c>
      <c r="C55" s="91">
        <v>0.5</v>
      </c>
      <c r="D55" s="85">
        <f t="shared" ref="D55:D61" si="70">+B55*C55</f>
        <v>586584</v>
      </c>
      <c r="E55" s="107">
        <v>0.5</v>
      </c>
      <c r="F55" s="109">
        <f t="shared" ref="F55:F61" si="71">+E55*B55</f>
        <v>586584</v>
      </c>
      <c r="G55" s="110">
        <f t="shared" ref="G55:G62" si="72">+C55+E55</f>
        <v>1</v>
      </c>
      <c r="H55" s="109">
        <f t="shared" ref="H55:H62" si="73">+(F55+D55)-B55</f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30" x14ac:dyDescent="0.25">
      <c r="A56" s="46" t="s">
        <v>206</v>
      </c>
      <c r="B56" s="90">
        <v>4732500</v>
      </c>
      <c r="C56" s="91">
        <v>0.5</v>
      </c>
      <c r="D56" s="85">
        <f t="shared" si="70"/>
        <v>2366250</v>
      </c>
      <c r="E56" s="107">
        <v>0.5</v>
      </c>
      <c r="F56" s="109">
        <f t="shared" si="71"/>
        <v>2366250</v>
      </c>
      <c r="G56" s="110">
        <f t="shared" si="72"/>
        <v>1</v>
      </c>
      <c r="H56" s="109">
        <f t="shared" si="73"/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30" x14ac:dyDescent="0.25">
      <c r="A57" s="46" t="s">
        <v>209</v>
      </c>
      <c r="B57" s="90"/>
      <c r="C57" s="91">
        <v>0.5</v>
      </c>
      <c r="D57" s="85">
        <f t="shared" si="70"/>
        <v>0</v>
      </c>
      <c r="E57" s="107">
        <v>0.5</v>
      </c>
      <c r="F57" s="109">
        <f t="shared" si="71"/>
        <v>0</v>
      </c>
      <c r="G57" s="110">
        <f t="shared" si="72"/>
        <v>1</v>
      </c>
      <c r="H57" s="109">
        <f t="shared" si="73"/>
        <v>0</v>
      </c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30" x14ac:dyDescent="0.25">
      <c r="A58" s="46" t="s">
        <v>210</v>
      </c>
      <c r="B58" s="90">
        <v>1052000</v>
      </c>
      <c r="C58" s="91">
        <v>0.5</v>
      </c>
      <c r="D58" s="85">
        <f t="shared" si="70"/>
        <v>526000</v>
      </c>
      <c r="E58" s="107">
        <v>0.5</v>
      </c>
      <c r="F58" s="109">
        <f t="shared" si="71"/>
        <v>526000</v>
      </c>
      <c r="G58" s="110">
        <f t="shared" si="72"/>
        <v>1</v>
      </c>
      <c r="H58" s="109">
        <f t="shared" si="73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30" x14ac:dyDescent="0.25">
      <c r="A59" s="46" t="s">
        <v>207</v>
      </c>
      <c r="B59" s="90"/>
      <c r="C59" s="91">
        <v>0.5</v>
      </c>
      <c r="D59" s="85">
        <f t="shared" si="70"/>
        <v>0</v>
      </c>
      <c r="E59" s="107">
        <v>0.5</v>
      </c>
      <c r="F59" s="109">
        <f t="shared" si="71"/>
        <v>0</v>
      </c>
      <c r="G59" s="110">
        <f t="shared" si="72"/>
        <v>1</v>
      </c>
      <c r="H59" s="109">
        <f t="shared" si="73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0" spans="1:30" x14ac:dyDescent="0.25">
      <c r="A60" s="46" t="s">
        <v>208</v>
      </c>
      <c r="B60" s="90"/>
      <c r="C60" s="91">
        <v>0.5</v>
      </c>
      <c r="D60" s="85">
        <f t="shared" si="70"/>
        <v>0</v>
      </c>
      <c r="E60" s="107">
        <v>0.5</v>
      </c>
      <c r="F60" s="109">
        <f t="shared" si="71"/>
        <v>0</v>
      </c>
      <c r="G60" s="110">
        <f t="shared" si="72"/>
        <v>1</v>
      </c>
      <c r="H60" s="109">
        <f t="shared" si="73"/>
        <v>0</v>
      </c>
      <c r="I60" s="103"/>
      <c r="J60" s="102"/>
      <c r="K60" s="102"/>
      <c r="L60" s="103"/>
      <c r="M60" s="102"/>
      <c r="N60" s="102"/>
      <c r="O60" s="103"/>
      <c r="P60" s="102"/>
      <c r="Q60" s="103"/>
      <c r="R60" s="102"/>
      <c r="S60" s="102"/>
      <c r="T60" s="103"/>
      <c r="U60" s="102"/>
      <c r="V60" s="103"/>
      <c r="W60" s="102"/>
      <c r="X60" s="102"/>
      <c r="Y60" s="103"/>
      <c r="Z60" s="102"/>
      <c r="AA60" s="104"/>
      <c r="AB60" s="104"/>
      <c r="AC60" s="105"/>
    </row>
    <row r="61" spans="1:30" x14ac:dyDescent="0.25">
      <c r="A61" s="46" t="s">
        <v>70</v>
      </c>
      <c r="B61" s="90"/>
      <c r="C61" s="91">
        <v>0.5</v>
      </c>
      <c r="D61" s="85">
        <f t="shared" si="70"/>
        <v>0</v>
      </c>
      <c r="E61" s="107">
        <v>0.5</v>
      </c>
      <c r="F61" s="109">
        <f t="shared" si="71"/>
        <v>0</v>
      </c>
      <c r="G61" s="110">
        <f t="shared" si="72"/>
        <v>1</v>
      </c>
      <c r="H61" s="109">
        <f t="shared" si="73"/>
        <v>0</v>
      </c>
      <c r="I61" s="103"/>
      <c r="J61" s="102"/>
      <c r="K61" s="102"/>
      <c r="L61" s="103"/>
      <c r="M61" s="102"/>
      <c r="N61" s="102"/>
      <c r="O61" s="103"/>
      <c r="P61" s="102"/>
      <c r="Q61" s="103"/>
      <c r="R61" s="102"/>
      <c r="S61" s="102"/>
      <c r="T61" s="103"/>
      <c r="U61" s="102"/>
      <c r="V61" s="103"/>
      <c r="W61" s="102"/>
      <c r="X61" s="102"/>
      <c r="Y61" s="103"/>
      <c r="Z61" s="102"/>
      <c r="AA61" s="104"/>
      <c r="AB61" s="104"/>
      <c r="AC61" s="105"/>
    </row>
    <row r="62" spans="1:30" x14ac:dyDescent="0.25">
      <c r="A62" s="115" t="s">
        <v>203</v>
      </c>
      <c r="B62" s="111">
        <f>SUM(B54:B61)</f>
        <v>15191596</v>
      </c>
      <c r="C62" s="91"/>
      <c r="D62" s="93">
        <f>SUM(D54:D61)</f>
        <v>7595798</v>
      </c>
      <c r="E62" s="107"/>
      <c r="F62" s="112">
        <f>SUM(F54:F61)</f>
        <v>7595798</v>
      </c>
      <c r="G62" s="110">
        <f t="shared" si="72"/>
        <v>0</v>
      </c>
      <c r="H62" s="109">
        <f t="shared" si="73"/>
        <v>0</v>
      </c>
      <c r="I62" s="103"/>
      <c r="J62" s="102"/>
      <c r="K62" s="102"/>
      <c r="L62" s="103"/>
      <c r="M62" s="102"/>
      <c r="N62" s="102"/>
      <c r="O62" s="103"/>
      <c r="P62" s="102"/>
      <c r="Q62" s="103"/>
      <c r="R62" s="102"/>
      <c r="S62" s="102"/>
      <c r="T62" s="103"/>
      <c r="U62" s="102"/>
      <c r="V62" s="103"/>
      <c r="W62" s="102"/>
      <c r="X62" s="102"/>
      <c r="Y62" s="103"/>
      <c r="Z62" s="102"/>
      <c r="AA62" s="104"/>
      <c r="AB62" s="104"/>
      <c r="AC62" s="105"/>
    </row>
    <row r="64" spans="1:30" x14ac:dyDescent="0.25">
      <c r="A64" s="116" t="s">
        <v>211</v>
      </c>
      <c r="B64" s="117">
        <f>+B12+B50+B62</f>
        <v>114417120.59999999</v>
      </c>
    </row>
    <row r="66" spans="1:2" x14ac:dyDescent="0.25">
      <c r="A66" s="51" t="s">
        <v>10</v>
      </c>
      <c r="B66" s="52">
        <f>+D12+D50</f>
        <v>5940971.5999999996</v>
      </c>
    </row>
    <row r="67" spans="1:2" x14ac:dyDescent="0.25">
      <c r="A67" s="51" t="s">
        <v>228</v>
      </c>
      <c r="B67" s="52">
        <f>+B62+K12+K50</f>
        <v>27825725.299999997</v>
      </c>
    </row>
    <row r="68" spans="1:2" x14ac:dyDescent="0.25">
      <c r="A68" s="51" t="s">
        <v>227</v>
      </c>
      <c r="B68" s="52">
        <f>+S12+S50</f>
        <v>2153353.7400000002</v>
      </c>
    </row>
    <row r="69" spans="1:2" x14ac:dyDescent="0.25">
      <c r="A69" s="51" t="s">
        <v>212</v>
      </c>
      <c r="B69" s="52">
        <f>+AA12+AA50</f>
        <v>56311167.519999996</v>
      </c>
    </row>
    <row r="70" spans="1:2" x14ac:dyDescent="0.25">
      <c r="A70" s="116" t="s">
        <v>211</v>
      </c>
      <c r="B70" s="117">
        <f>SUM(B66:B69)</f>
        <v>92231218.159999996</v>
      </c>
    </row>
    <row r="71" spans="1:2" hidden="1" x14ac:dyDescent="0.25">
      <c r="A71" s="113" t="s">
        <v>196</v>
      </c>
      <c r="B71" s="114">
        <f>+B64-B70</f>
        <v>22185902.439999998</v>
      </c>
    </row>
  </sheetData>
  <mergeCells count="12">
    <mergeCell ref="A1:W1"/>
    <mergeCell ref="A2:B2"/>
    <mergeCell ref="C2:D2"/>
    <mergeCell ref="E2:K2"/>
    <mergeCell ref="L2:S2"/>
    <mergeCell ref="T2:AA2"/>
    <mergeCell ref="AB2:AC2"/>
    <mergeCell ref="E3:F3"/>
    <mergeCell ref="G3:H3"/>
    <mergeCell ref="I3:J3"/>
    <mergeCell ref="L3:M3"/>
    <mergeCell ref="O3:P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F05595-0D79-455B-B0F0-E168CBC8A728}">
  <dimension ref="A1:AE71"/>
  <sheetViews>
    <sheetView workbookViewId="0">
      <selection activeCell="B48" sqref="B48"/>
    </sheetView>
  </sheetViews>
  <sheetFormatPr baseColWidth="10" defaultRowHeight="15" x14ac:dyDescent="0.25"/>
  <cols>
    <col min="1" max="1" width="40.42578125" customWidth="1"/>
    <col min="2" max="2" width="16.5703125" customWidth="1"/>
    <col min="3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4" width="14.710937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2" max="22" width="13.7109375" customWidth="1"/>
    <col min="24" max="24" width="14.28515625" customWidth="1"/>
    <col min="25" max="25" width="12.85546875" customWidth="1"/>
    <col min="26" max="26" width="12.28515625" customWidth="1"/>
    <col min="27" max="27" width="15.140625" customWidth="1"/>
  </cols>
  <sheetData>
    <row r="1" spans="1:31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1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1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33" t="s">
        <v>96</v>
      </c>
      <c r="P3" s="334"/>
      <c r="Q3" s="72" t="s">
        <v>97</v>
      </c>
      <c r="R3" s="72"/>
      <c r="S3" s="69" t="s">
        <v>298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100</v>
      </c>
      <c r="AB3" s="97"/>
      <c r="AC3" s="97"/>
    </row>
    <row r="4" spans="1:31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302</v>
      </c>
      <c r="O4" s="75" t="s">
        <v>162</v>
      </c>
      <c r="P4" s="75" t="s">
        <v>176</v>
      </c>
      <c r="Q4" s="76" t="s">
        <v>163</v>
      </c>
      <c r="R4" s="76" t="s">
        <v>176</v>
      </c>
      <c r="S4" s="71" t="s">
        <v>171</v>
      </c>
      <c r="T4" s="77" t="s">
        <v>164</v>
      </c>
      <c r="U4" s="77" t="s">
        <v>176</v>
      </c>
      <c r="V4" s="78" t="s">
        <v>165</v>
      </c>
      <c r="W4" s="78" t="s">
        <v>176</v>
      </c>
      <c r="X4" s="71" t="s">
        <v>301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1" x14ac:dyDescent="0.25">
      <c r="A5" s="46" t="s">
        <v>67</v>
      </c>
      <c r="B5" s="90">
        <f>+' NOMINAS ENE-DIC'!I106+' NOMINAS ENE-DIC'!I116</f>
        <v>6685487.2880000006</v>
      </c>
      <c r="C5" s="91">
        <f>+'%'!B4</f>
        <v>0.35</v>
      </c>
      <c r="D5" s="93">
        <f t="shared" ref="D5:D11" si="0">+B5*C5</f>
        <v>2339920.5507999999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66854.87288000001</v>
      </c>
      <c r="N5" s="93">
        <f>+M5</f>
        <v>66854.87288000001</v>
      </c>
      <c r="O5" s="86">
        <f>+'%'!G4</f>
        <v>0.02</v>
      </c>
      <c r="P5" s="87">
        <f t="shared" ref="P5:P11" si="6">+O5*B5</f>
        <v>133709.74576000002</v>
      </c>
      <c r="Q5" s="86">
        <f>+'%'!H4</f>
        <v>0.05</v>
      </c>
      <c r="R5" s="87">
        <f t="shared" ref="R5:R11" si="7">+Q5*B5</f>
        <v>334274.36440000008</v>
      </c>
      <c r="S5" s="93">
        <f>+P5+R5</f>
        <v>467984.1101600001</v>
      </c>
      <c r="T5" s="88">
        <f>+'%'!I4</f>
        <v>0.2</v>
      </c>
      <c r="U5" s="89">
        <f t="shared" ref="U5:U11" si="8">+T5*B5</f>
        <v>1337097.4576000003</v>
      </c>
      <c r="V5" s="88">
        <f>+'%'!J4</f>
        <v>0.27</v>
      </c>
      <c r="W5" s="89">
        <f t="shared" ref="W5:W11" si="9">+V5*B5</f>
        <v>1805081.5677600002</v>
      </c>
      <c r="X5" s="93">
        <f>+U5+W5</f>
        <v>3142179.0253600003</v>
      </c>
      <c r="Y5" s="88">
        <f>+'%'!K4</f>
        <v>0.1</v>
      </c>
      <c r="Z5" s="89">
        <f t="shared" ref="Z5:Z11" si="10">+Y5*B5</f>
        <v>668548.72880000016</v>
      </c>
      <c r="AA5" s="93">
        <f>+Z5</f>
        <v>668548.72880000016</v>
      </c>
      <c r="AB5" s="81">
        <f>+(D5+K5+N5+S5+X5+AA5)-B5</f>
        <v>0</v>
      </c>
      <c r="AC5" s="82">
        <f t="shared" ref="AC5:AC12" si="11">+C5+E5+G5+I5+L5+O5+Q5+T5+V5+Y5</f>
        <v>1</v>
      </c>
      <c r="AE5" s="162"/>
    </row>
    <row r="6" spans="1:31" x14ac:dyDescent="0.25">
      <c r="A6" s="46" t="s">
        <v>74</v>
      </c>
      <c r="B6" s="90">
        <f>+' NOMINAS ENE-DIC'!I108+' NOMINAS ENE-DIC'!I118</f>
        <v>4648969.392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1859587.7568000001</v>
      </c>
      <c r="G6" s="122">
        <f>+'%'!D5</f>
        <v>0.6</v>
      </c>
      <c r="H6" s="123">
        <f t="shared" si="2"/>
        <v>2789381.6351999999</v>
      </c>
      <c r="I6" s="122">
        <f>+'%'!E5</f>
        <v>0</v>
      </c>
      <c r="J6" s="123">
        <f t="shared" si="3"/>
        <v>0</v>
      </c>
      <c r="K6" s="93">
        <f t="shared" si="4"/>
        <v>4648969.392</v>
      </c>
      <c r="L6" s="86">
        <f>+'%'!F5</f>
        <v>0</v>
      </c>
      <c r="M6" s="87">
        <f t="shared" si="5"/>
        <v>0</v>
      </c>
      <c r="N6" s="93">
        <f t="shared" ref="N6:N12" si="12">+M6</f>
        <v>0</v>
      </c>
      <c r="O6" s="86">
        <f>+'%'!G5</f>
        <v>0</v>
      </c>
      <c r="P6" s="87">
        <f t="shared" si="6"/>
        <v>0</v>
      </c>
      <c r="Q6" s="86">
        <f>+'%'!H5</f>
        <v>0</v>
      </c>
      <c r="R6" s="87">
        <f t="shared" si="7"/>
        <v>0</v>
      </c>
      <c r="S6" s="93">
        <f t="shared" ref="S6:S12" si="13">+P6+R6</f>
        <v>0</v>
      </c>
      <c r="T6" s="88">
        <f>+'%'!I5</f>
        <v>0</v>
      </c>
      <c r="U6" s="89">
        <f t="shared" si="8"/>
        <v>0</v>
      </c>
      <c r="V6" s="88">
        <f>+'%'!J5</f>
        <v>0</v>
      </c>
      <c r="W6" s="89">
        <f t="shared" si="9"/>
        <v>0</v>
      </c>
      <c r="X6" s="93">
        <f t="shared" ref="X6:X12" si="14">+U6+W6</f>
        <v>0</v>
      </c>
      <c r="Y6" s="88">
        <f>+'%'!K5</f>
        <v>0</v>
      </c>
      <c r="Z6" s="89">
        <f t="shared" si="10"/>
        <v>0</v>
      </c>
      <c r="AA6" s="93">
        <f t="shared" ref="AA6:AA12" si="15">+Z6</f>
        <v>0</v>
      </c>
      <c r="AB6" s="81">
        <f t="shared" ref="AB6:AB12" si="16">+(D6+K6+N6+S6+X6+AA6)-B6</f>
        <v>0</v>
      </c>
      <c r="AC6" s="82">
        <f t="shared" si="11"/>
        <v>1</v>
      </c>
      <c r="AE6" s="162"/>
    </row>
    <row r="7" spans="1:31" x14ac:dyDescent="0.25">
      <c r="A7" s="46" t="s">
        <v>109</v>
      </c>
      <c r="B7" s="90">
        <f>+' NOMINAS ENE-DIC'!I105+' NOMINAS ENE-DIC'!I115</f>
        <v>4337998.392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1084499.598</v>
      </c>
      <c r="G7" s="122">
        <f>+'%'!D7</f>
        <v>0.45</v>
      </c>
      <c r="H7" s="123">
        <f t="shared" si="2"/>
        <v>1952099.2764000001</v>
      </c>
      <c r="I7" s="122">
        <f>+'%'!E7</f>
        <v>0.2</v>
      </c>
      <c r="J7" s="123">
        <f t="shared" si="3"/>
        <v>867599.67840000009</v>
      </c>
      <c r="K7" s="93">
        <f t="shared" si="4"/>
        <v>3904198.5528000002</v>
      </c>
      <c r="L7" s="86">
        <f>+'%'!F7</f>
        <v>0</v>
      </c>
      <c r="M7" s="87">
        <f t="shared" si="5"/>
        <v>0</v>
      </c>
      <c r="N7" s="93">
        <f t="shared" si="12"/>
        <v>0</v>
      </c>
      <c r="O7" s="86">
        <f>+'%'!G7</f>
        <v>0</v>
      </c>
      <c r="P7" s="87">
        <f t="shared" si="6"/>
        <v>0</v>
      </c>
      <c r="Q7" s="86">
        <f>+'%'!H7</f>
        <v>0.05</v>
      </c>
      <c r="R7" s="87">
        <f t="shared" si="7"/>
        <v>216899.91960000002</v>
      </c>
      <c r="S7" s="93">
        <f t="shared" si="13"/>
        <v>216899.91960000002</v>
      </c>
      <c r="T7" s="88">
        <f>+'%'!I7</f>
        <v>0</v>
      </c>
      <c r="U7" s="89">
        <v>0</v>
      </c>
      <c r="V7" s="88">
        <f>+'%'!J7</f>
        <v>0.05</v>
      </c>
      <c r="W7" s="89">
        <f t="shared" si="9"/>
        <v>216899.91960000002</v>
      </c>
      <c r="X7" s="93">
        <f t="shared" si="14"/>
        <v>216899.91960000002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  <c r="AE7" s="162"/>
    </row>
    <row r="8" spans="1:31" x14ac:dyDescent="0.25">
      <c r="A8" s="46" t="s">
        <v>266</v>
      </c>
      <c r="B8" s="90">
        <f>+' NOMINAS ENE-DIC'!I107+' NOMINAS ENE-DIC'!I117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86">
        <v>0</v>
      </c>
      <c r="P8" s="87">
        <f t="shared" si="6"/>
        <v>0</v>
      </c>
      <c r="Q8" s="86">
        <v>0</v>
      </c>
      <c r="R8" s="87">
        <f t="shared" si="7"/>
        <v>0</v>
      </c>
      <c r="S8" s="93">
        <f t="shared" si="13"/>
        <v>0</v>
      </c>
      <c r="T8" s="88">
        <v>0</v>
      </c>
      <c r="U8" s="89">
        <v>0</v>
      </c>
      <c r="V8" s="88">
        <v>0</v>
      </c>
      <c r="W8" s="8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1" x14ac:dyDescent="0.25">
      <c r="A9" s="46" t="s">
        <v>184</v>
      </c>
      <c r="B9" s="90">
        <f>+' NOMINAS ENE-DIC'!B124</f>
        <v>4664000</v>
      </c>
      <c r="C9" s="91">
        <f>+'%'!B8</f>
        <v>0.2</v>
      </c>
      <c r="D9" s="93">
        <f t="shared" si="0"/>
        <v>932800</v>
      </c>
      <c r="E9" s="122">
        <f>+'%'!C8</f>
        <v>0.1</v>
      </c>
      <c r="F9" s="123">
        <f t="shared" si="1"/>
        <v>466400</v>
      </c>
      <c r="G9" s="122">
        <f>+'%'!D8</f>
        <v>0.3</v>
      </c>
      <c r="H9" s="123">
        <f t="shared" si="2"/>
        <v>1399200</v>
      </c>
      <c r="I9" s="122">
        <f>+'%'!E8</f>
        <v>0.1</v>
      </c>
      <c r="J9" s="123">
        <f t="shared" si="3"/>
        <v>466400</v>
      </c>
      <c r="K9" s="93">
        <f t="shared" si="4"/>
        <v>2332000</v>
      </c>
      <c r="L9" s="86">
        <f>+'%'!F8</f>
        <v>0</v>
      </c>
      <c r="M9" s="87">
        <f t="shared" si="5"/>
        <v>0</v>
      </c>
      <c r="N9" s="93">
        <f t="shared" si="12"/>
        <v>0</v>
      </c>
      <c r="O9" s="86">
        <v>0.02</v>
      </c>
      <c r="P9" s="87">
        <f t="shared" si="6"/>
        <v>93280</v>
      </c>
      <c r="Q9" s="86">
        <f>+'%'!H8</f>
        <v>0.05</v>
      </c>
      <c r="R9" s="87">
        <f t="shared" si="7"/>
        <v>233200</v>
      </c>
      <c r="S9" s="93">
        <f t="shared" si="13"/>
        <v>326480</v>
      </c>
      <c r="T9" s="88">
        <f>+'%'!I8</f>
        <v>0</v>
      </c>
      <c r="U9" s="89">
        <v>0</v>
      </c>
      <c r="V9" s="88">
        <f>+'%'!J8</f>
        <v>0.1</v>
      </c>
      <c r="W9" s="89">
        <f t="shared" si="9"/>
        <v>466400</v>
      </c>
      <c r="X9" s="93">
        <f t="shared" si="14"/>
        <v>466400</v>
      </c>
      <c r="Y9" s="88">
        <v>0.13</v>
      </c>
      <c r="Z9" s="89">
        <f t="shared" si="10"/>
        <v>606320</v>
      </c>
      <c r="AA9" s="93">
        <f t="shared" si="15"/>
        <v>606320</v>
      </c>
      <c r="AB9" s="81">
        <f t="shared" si="16"/>
        <v>0</v>
      </c>
      <c r="AC9" s="82">
        <f t="shared" si="11"/>
        <v>1</v>
      </c>
      <c r="AE9" s="162"/>
    </row>
    <row r="10" spans="1:31" x14ac:dyDescent="0.25">
      <c r="A10" s="46" t="s">
        <v>51</v>
      </c>
      <c r="B10" s="90">
        <f>+' NOMINAS ENE-DIC'!B125</f>
        <v>4000000</v>
      </c>
      <c r="C10" s="91">
        <f>+'%'!B8</f>
        <v>0.2</v>
      </c>
      <c r="D10" s="93">
        <f t="shared" si="0"/>
        <v>800000</v>
      </c>
      <c r="E10" s="122">
        <f>+'%'!C8</f>
        <v>0.1</v>
      </c>
      <c r="F10" s="123">
        <f t="shared" si="1"/>
        <v>400000</v>
      </c>
      <c r="G10" s="122">
        <f>+'%'!D8</f>
        <v>0.3</v>
      </c>
      <c r="H10" s="123">
        <f t="shared" si="2"/>
        <v>1200000</v>
      </c>
      <c r="I10" s="122">
        <f>+'%'!E8</f>
        <v>0.1</v>
      </c>
      <c r="J10" s="123">
        <f t="shared" si="3"/>
        <v>400000</v>
      </c>
      <c r="K10" s="93">
        <f t="shared" si="4"/>
        <v>2000000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86">
        <v>0.02</v>
      </c>
      <c r="P10" s="87">
        <f t="shared" si="6"/>
        <v>80000</v>
      </c>
      <c r="Q10" s="86">
        <f>+'%'!H8</f>
        <v>0.05</v>
      </c>
      <c r="R10" s="87">
        <f t="shared" si="7"/>
        <v>200000</v>
      </c>
      <c r="S10" s="93">
        <f t="shared" si="13"/>
        <v>280000</v>
      </c>
      <c r="T10" s="88">
        <f>+'%'!I8</f>
        <v>0</v>
      </c>
      <c r="U10" s="89">
        <f t="shared" si="8"/>
        <v>0</v>
      </c>
      <c r="V10" s="88">
        <f>+'%'!J8</f>
        <v>0.1</v>
      </c>
      <c r="W10" s="89">
        <f t="shared" si="9"/>
        <v>400000</v>
      </c>
      <c r="X10" s="93">
        <f t="shared" si="14"/>
        <v>400000</v>
      </c>
      <c r="Y10" s="88">
        <v>0.13</v>
      </c>
      <c r="Z10" s="89">
        <f t="shared" si="10"/>
        <v>520000</v>
      </c>
      <c r="AA10" s="93">
        <f t="shared" si="15"/>
        <v>520000</v>
      </c>
      <c r="AB10" s="81">
        <f t="shared" si="16"/>
        <v>0</v>
      </c>
      <c r="AC10" s="82">
        <f t="shared" si="11"/>
        <v>1</v>
      </c>
      <c r="AE10" s="162"/>
    </row>
    <row r="11" spans="1:31" x14ac:dyDescent="0.25">
      <c r="A11" s="46" t="s">
        <v>185</v>
      </c>
      <c r="B11" s="90">
        <f>+' NOMINAS ENE-DIC'!D123</f>
        <v>870000</v>
      </c>
      <c r="C11" s="91">
        <f>+'%'!B9</f>
        <v>0.2</v>
      </c>
      <c r="D11" s="93">
        <f t="shared" si="0"/>
        <v>174000</v>
      </c>
      <c r="E11" s="122">
        <f>+'%'!C9</f>
        <v>0.1</v>
      </c>
      <c r="F11" s="123">
        <f t="shared" si="1"/>
        <v>87000</v>
      </c>
      <c r="G11" s="122">
        <f>+'%'!D9</f>
        <v>0.2</v>
      </c>
      <c r="H11" s="123">
        <f t="shared" si="2"/>
        <v>174000</v>
      </c>
      <c r="I11" s="122">
        <f>+'%'!E9</f>
        <v>0.15</v>
      </c>
      <c r="J11" s="123">
        <f t="shared" si="3"/>
        <v>130500</v>
      </c>
      <c r="K11" s="93">
        <f t="shared" si="4"/>
        <v>391500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86">
        <v>0.02</v>
      </c>
      <c r="P11" s="87">
        <f t="shared" si="6"/>
        <v>17400</v>
      </c>
      <c r="Q11" s="86">
        <f>+'%'!H9</f>
        <v>0.1</v>
      </c>
      <c r="R11" s="87">
        <f t="shared" si="7"/>
        <v>87000</v>
      </c>
      <c r="S11" s="93">
        <f t="shared" si="13"/>
        <v>104400</v>
      </c>
      <c r="T11" s="88">
        <f>+'%'!I9</f>
        <v>0</v>
      </c>
      <c r="U11" s="89">
        <f t="shared" si="8"/>
        <v>0</v>
      </c>
      <c r="V11" s="88">
        <f>+'%'!J9</f>
        <v>0.2</v>
      </c>
      <c r="W11" s="89">
        <f t="shared" si="9"/>
        <v>174000</v>
      </c>
      <c r="X11" s="93">
        <f t="shared" si="14"/>
        <v>174000</v>
      </c>
      <c r="Y11" s="88">
        <v>0.03</v>
      </c>
      <c r="Z11" s="89">
        <f t="shared" si="10"/>
        <v>26100</v>
      </c>
      <c r="AA11" s="93">
        <f t="shared" si="15"/>
        <v>26100</v>
      </c>
      <c r="AB11" s="81">
        <f t="shared" si="16"/>
        <v>0</v>
      </c>
      <c r="AC11" s="82">
        <f t="shared" si="11"/>
        <v>1</v>
      </c>
      <c r="AE11" s="162"/>
    </row>
    <row r="12" spans="1:31" x14ac:dyDescent="0.25">
      <c r="A12" s="46" t="s">
        <v>181</v>
      </c>
      <c r="B12" s="92">
        <f>SUM(B5:B11)</f>
        <v>27371140.272</v>
      </c>
      <c r="C12" s="44"/>
      <c r="D12" s="93">
        <f>SUM(D5:D11)</f>
        <v>6411405.7508000005</v>
      </c>
      <c r="E12" s="124"/>
      <c r="F12" s="125">
        <f>SUM(F5:F11)</f>
        <v>3897487.3547999999</v>
      </c>
      <c r="G12" s="124"/>
      <c r="H12" s="125">
        <f>SUM(H5:H11)</f>
        <v>7514680.9116000002</v>
      </c>
      <c r="I12" s="124"/>
      <c r="J12" s="125">
        <f>SUM(J5:J11)</f>
        <v>1864499.6784000001</v>
      </c>
      <c r="K12" s="93">
        <f>SUM(K5:K11)</f>
        <v>13276667.944800001</v>
      </c>
      <c r="L12" s="44"/>
      <c r="M12" s="95">
        <f>SUM(M5:M11)</f>
        <v>66854.87288000001</v>
      </c>
      <c r="N12" s="93">
        <f t="shared" si="12"/>
        <v>66854.87288000001</v>
      </c>
      <c r="O12" s="44"/>
      <c r="P12" s="95">
        <f>SUM(P5:P11)</f>
        <v>324389.74576000002</v>
      </c>
      <c r="Q12" s="44"/>
      <c r="R12" s="95">
        <f>SUM(R5:R11)</f>
        <v>1071374.284</v>
      </c>
      <c r="S12" s="93">
        <f t="shared" si="13"/>
        <v>1395764.0297600001</v>
      </c>
      <c r="T12" s="44"/>
      <c r="U12" s="94">
        <f>SUM(U5:U11)</f>
        <v>1337097.4576000003</v>
      </c>
      <c r="V12" s="44"/>
      <c r="W12" s="94">
        <f>SUM(W5:W11)</f>
        <v>3062381.4873600001</v>
      </c>
      <c r="X12" s="93">
        <f t="shared" si="14"/>
        <v>4399478.94496</v>
      </c>
      <c r="Y12" s="79"/>
      <c r="Z12" s="94">
        <f>SUM(Z5:Z11)</f>
        <v>1820968.7288000002</v>
      </c>
      <c r="AA12" s="93">
        <f t="shared" si="15"/>
        <v>1820968.7288000002</v>
      </c>
      <c r="AB12" s="81">
        <f t="shared" si="16"/>
        <v>0</v>
      </c>
      <c r="AC12" s="82">
        <f t="shared" si="11"/>
        <v>0</v>
      </c>
    </row>
    <row r="15" spans="1:31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302</v>
      </c>
      <c r="O15" s="75" t="s">
        <v>162</v>
      </c>
      <c r="P15" s="75" t="s">
        <v>176</v>
      </c>
      <c r="Q15" s="76" t="s">
        <v>163</v>
      </c>
      <c r="R15" s="76" t="s">
        <v>176</v>
      </c>
      <c r="S15" s="71" t="s">
        <v>171</v>
      </c>
      <c r="T15" s="77" t="s">
        <v>164</v>
      </c>
      <c r="U15" s="77" t="s">
        <v>176</v>
      </c>
      <c r="V15" s="78" t="s">
        <v>165</v>
      </c>
      <c r="W15" s="78" t="s">
        <v>176</v>
      </c>
      <c r="X15" s="71" t="s">
        <v>301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1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86">
        <v>0.03</v>
      </c>
      <c r="P16" s="87">
        <f>+O16*B16</f>
        <v>39340.799999999996</v>
      </c>
      <c r="Q16" s="86">
        <v>0.05</v>
      </c>
      <c r="R16" s="87">
        <f>+Q16*B16</f>
        <v>65568</v>
      </c>
      <c r="S16" s="93">
        <f>+P16+R16</f>
        <v>104908.79999999999</v>
      </c>
      <c r="T16" s="88">
        <v>0.15</v>
      </c>
      <c r="U16" s="89">
        <f>+T16*B16</f>
        <v>196704</v>
      </c>
      <c r="V16" s="88">
        <v>0.45</v>
      </c>
      <c r="W16" s="89">
        <f>+V16*B16</f>
        <v>590112</v>
      </c>
      <c r="X16" s="93">
        <f>+W16+U16</f>
        <v>786816</v>
      </c>
      <c r="Y16" s="88">
        <v>0</v>
      </c>
      <c r="Z16" s="89">
        <f t="shared" ref="Z16:Z49" si="17">+Y16*B16</f>
        <v>0</v>
      </c>
      <c r="AA16" s="242">
        <f>+Z16</f>
        <v>0</v>
      </c>
      <c r="AB16" s="81">
        <f>+(D16+K16+N16+S16+X16+AA16)-B16</f>
        <v>0</v>
      </c>
      <c r="AC16" s="82">
        <f>+C16+E16+G16+I16+L16+O16+Q16+T16+V16+Y16</f>
        <v>1</v>
      </c>
      <c r="AD16" s="159">
        <f t="shared" ref="AD16:AD49" si="18">+AA16+S16+K16</f>
        <v>380294.39999999997</v>
      </c>
    </row>
    <row r="17" spans="1:30" x14ac:dyDescent="0.25">
      <c r="A17" s="46" t="s">
        <v>81</v>
      </c>
      <c r="B17" s="90">
        <f>+' NOMINAS ENE-DIC'!I109</f>
        <v>13618</v>
      </c>
      <c r="C17" s="91">
        <v>0</v>
      </c>
      <c r="D17" s="85">
        <f t="shared" ref="D17:D49" si="19">+B17*C17</f>
        <v>0</v>
      </c>
      <c r="E17" s="122">
        <v>0.6</v>
      </c>
      <c r="F17" s="123">
        <f t="shared" ref="F17:F49" si="20">+B17*E17</f>
        <v>8170.7999999999993</v>
      </c>
      <c r="G17" s="122">
        <v>0.4</v>
      </c>
      <c r="H17" s="123">
        <f t="shared" ref="H17:H49" si="21">+B17*G17</f>
        <v>5447.2000000000007</v>
      </c>
      <c r="I17" s="122">
        <v>0</v>
      </c>
      <c r="J17" s="123">
        <f t="shared" ref="J17:J49" si="22">+B17*I17</f>
        <v>0</v>
      </c>
      <c r="K17" s="93">
        <f t="shared" ref="K17:K49" si="23">+F17+H17+J17</f>
        <v>13618</v>
      </c>
      <c r="L17" s="86">
        <v>0</v>
      </c>
      <c r="M17" s="87">
        <f t="shared" ref="M17:M49" si="24">+L17*B17</f>
        <v>0</v>
      </c>
      <c r="N17" s="93">
        <f t="shared" ref="N17:N50" si="25">+M17</f>
        <v>0</v>
      </c>
      <c r="O17" s="86">
        <v>0</v>
      </c>
      <c r="P17" s="87">
        <f t="shared" ref="P17:P49" si="26">+O17*B17</f>
        <v>0</v>
      </c>
      <c r="Q17" s="86">
        <v>0</v>
      </c>
      <c r="R17" s="87">
        <f t="shared" ref="R17:R49" si="27">+Q17*B17</f>
        <v>0</v>
      </c>
      <c r="S17" s="93">
        <f t="shared" ref="S17:S50" si="28">+P17+R17</f>
        <v>0</v>
      </c>
      <c r="T17" s="88">
        <v>0</v>
      </c>
      <c r="U17" s="89">
        <f t="shared" ref="U17:U49" si="29">+T17*B17</f>
        <v>0</v>
      </c>
      <c r="V17" s="88">
        <v>0</v>
      </c>
      <c r="W17" s="89">
        <f>+V17*B17</f>
        <v>0</v>
      </c>
      <c r="X17" s="93">
        <f t="shared" ref="X17:X50" si="30">+W17+U17</f>
        <v>0</v>
      </c>
      <c r="Y17" s="88">
        <v>0</v>
      </c>
      <c r="Z17" s="89">
        <f t="shared" si="17"/>
        <v>0</v>
      </c>
      <c r="AA17" s="242">
        <f t="shared" ref="AA17:AA50" si="31">+Z17</f>
        <v>0</v>
      </c>
      <c r="AB17" s="81">
        <f t="shared" ref="AB17:AB50" si="32">+(D17+K17+N17+S17+X17+AA17)-B17</f>
        <v>0</v>
      </c>
      <c r="AC17" s="82">
        <f t="shared" ref="AC17:AC50" si="33">+C17+E17+G17+I17+L17+O17+Q17+T17+V17+Y17</f>
        <v>1</v>
      </c>
      <c r="AD17" s="159">
        <f t="shared" si="18"/>
        <v>13618</v>
      </c>
    </row>
    <row r="18" spans="1:30" x14ac:dyDescent="0.25">
      <c r="A18" s="46" t="s">
        <v>268</v>
      </c>
      <c r="B18" s="90">
        <v>1000000</v>
      </c>
      <c r="C18" s="91">
        <v>0</v>
      </c>
      <c r="D18" s="85">
        <f t="shared" si="19"/>
        <v>0</v>
      </c>
      <c r="E18" s="122">
        <v>0.6</v>
      </c>
      <c r="F18" s="123">
        <f t="shared" si="20"/>
        <v>600000</v>
      </c>
      <c r="G18" s="122">
        <v>0.4</v>
      </c>
      <c r="H18" s="123">
        <f t="shared" si="21"/>
        <v>400000</v>
      </c>
      <c r="I18" s="122">
        <v>0</v>
      </c>
      <c r="J18" s="123">
        <f t="shared" si="22"/>
        <v>0</v>
      </c>
      <c r="K18" s="93">
        <f t="shared" si="23"/>
        <v>1000000</v>
      </c>
      <c r="L18" s="86">
        <v>0</v>
      </c>
      <c r="M18" s="87">
        <f t="shared" si="24"/>
        <v>0</v>
      </c>
      <c r="N18" s="93">
        <f t="shared" si="25"/>
        <v>0</v>
      </c>
      <c r="O18" s="86">
        <v>0</v>
      </c>
      <c r="P18" s="87">
        <f t="shared" si="26"/>
        <v>0</v>
      </c>
      <c r="Q18" s="86">
        <v>0</v>
      </c>
      <c r="R18" s="87">
        <f t="shared" si="27"/>
        <v>0</v>
      </c>
      <c r="S18" s="93">
        <f t="shared" si="28"/>
        <v>0</v>
      </c>
      <c r="T18" s="88">
        <v>0</v>
      </c>
      <c r="U18" s="89">
        <f t="shared" si="29"/>
        <v>0</v>
      </c>
      <c r="V18" s="88">
        <v>0</v>
      </c>
      <c r="W18" s="89">
        <f>+V18*B18</f>
        <v>0</v>
      </c>
      <c r="X18" s="93">
        <f t="shared" si="30"/>
        <v>0</v>
      </c>
      <c r="Y18" s="88">
        <v>0</v>
      </c>
      <c r="Z18" s="89">
        <f t="shared" si="17"/>
        <v>0</v>
      </c>
      <c r="AA18" s="242">
        <f t="shared" si="31"/>
        <v>0</v>
      </c>
      <c r="AB18" s="81">
        <f t="shared" si="32"/>
        <v>0</v>
      </c>
      <c r="AC18" s="82">
        <f t="shared" si="33"/>
        <v>1</v>
      </c>
      <c r="AD18" s="159">
        <f t="shared" si="18"/>
        <v>1000000</v>
      </c>
    </row>
    <row r="19" spans="1:30" x14ac:dyDescent="0.25">
      <c r="A19" s="46" t="s">
        <v>186</v>
      </c>
      <c r="B19" s="90">
        <f>600000+550000</f>
        <v>1150000</v>
      </c>
      <c r="C19" s="91">
        <v>0.1</v>
      </c>
      <c r="D19" s="85">
        <f t="shared" si="19"/>
        <v>115000</v>
      </c>
      <c r="E19" s="122">
        <v>0</v>
      </c>
      <c r="F19" s="123">
        <f t="shared" si="20"/>
        <v>0</v>
      </c>
      <c r="G19" s="122">
        <v>0</v>
      </c>
      <c r="H19" s="123">
        <f t="shared" si="21"/>
        <v>0</v>
      </c>
      <c r="I19" s="122">
        <v>0</v>
      </c>
      <c r="J19" s="123">
        <f t="shared" si="22"/>
        <v>0</v>
      </c>
      <c r="K19" s="93">
        <f t="shared" si="23"/>
        <v>0</v>
      </c>
      <c r="L19" s="86">
        <v>0.01</v>
      </c>
      <c r="M19" s="87">
        <f t="shared" si="24"/>
        <v>11500</v>
      </c>
      <c r="N19" s="93">
        <f t="shared" si="25"/>
        <v>11500</v>
      </c>
      <c r="O19" s="86">
        <v>0.2</v>
      </c>
      <c r="P19" s="87">
        <f t="shared" si="26"/>
        <v>230000</v>
      </c>
      <c r="Q19" s="86">
        <v>0.15</v>
      </c>
      <c r="R19" s="87">
        <f t="shared" si="27"/>
        <v>172500</v>
      </c>
      <c r="S19" s="93">
        <f t="shared" si="28"/>
        <v>402500</v>
      </c>
      <c r="T19" s="88">
        <v>0.2</v>
      </c>
      <c r="U19" s="89">
        <f t="shared" si="29"/>
        <v>230000</v>
      </c>
      <c r="V19" s="88">
        <v>0.24</v>
      </c>
      <c r="W19" s="89">
        <f t="shared" ref="W19:W49" si="34">+V19*B19</f>
        <v>276000</v>
      </c>
      <c r="X19" s="93">
        <f t="shared" si="30"/>
        <v>506000</v>
      </c>
      <c r="Y19" s="88">
        <v>0.1</v>
      </c>
      <c r="Z19" s="89">
        <f t="shared" si="17"/>
        <v>115000</v>
      </c>
      <c r="AA19" s="242">
        <f t="shared" si="31"/>
        <v>115000</v>
      </c>
      <c r="AB19" s="81">
        <f t="shared" si="32"/>
        <v>0</v>
      </c>
      <c r="AC19" s="82">
        <f t="shared" si="33"/>
        <v>0.99999999999999989</v>
      </c>
      <c r="AD19" s="159">
        <f t="shared" si="18"/>
        <v>517500</v>
      </c>
    </row>
    <row r="20" spans="1:30" x14ac:dyDescent="0.25">
      <c r="A20" s="46" t="s">
        <v>276</v>
      </c>
      <c r="B20" s="90"/>
      <c r="C20" s="91">
        <v>0</v>
      </c>
      <c r="D20" s="85">
        <f t="shared" si="19"/>
        <v>0</v>
      </c>
      <c r="E20" s="122">
        <v>0</v>
      </c>
      <c r="F20" s="123">
        <f t="shared" si="20"/>
        <v>0</v>
      </c>
      <c r="G20" s="122">
        <v>0</v>
      </c>
      <c r="H20" s="123">
        <f t="shared" si="21"/>
        <v>0</v>
      </c>
      <c r="I20" s="122">
        <v>0</v>
      </c>
      <c r="J20" s="123">
        <f t="shared" si="22"/>
        <v>0</v>
      </c>
      <c r="K20" s="93">
        <f t="shared" si="23"/>
        <v>0</v>
      </c>
      <c r="L20" s="86">
        <v>0</v>
      </c>
      <c r="M20" s="87">
        <f t="shared" si="24"/>
        <v>0</v>
      </c>
      <c r="N20" s="93">
        <f t="shared" si="25"/>
        <v>0</v>
      </c>
      <c r="O20" s="86">
        <v>0</v>
      </c>
      <c r="P20" s="87">
        <f t="shared" si="26"/>
        <v>0</v>
      </c>
      <c r="Q20" s="86">
        <v>0</v>
      </c>
      <c r="R20" s="87">
        <f t="shared" si="27"/>
        <v>0</v>
      </c>
      <c r="S20" s="93">
        <f t="shared" si="28"/>
        <v>0</v>
      </c>
      <c r="T20" s="88">
        <v>0</v>
      </c>
      <c r="U20" s="89">
        <f t="shared" si="29"/>
        <v>0</v>
      </c>
      <c r="V20" s="88">
        <v>0</v>
      </c>
      <c r="W20" s="89">
        <f t="shared" si="34"/>
        <v>0</v>
      </c>
      <c r="X20" s="93">
        <f t="shared" si="30"/>
        <v>0</v>
      </c>
      <c r="Y20" s="88">
        <v>1</v>
      </c>
      <c r="Z20" s="89">
        <f t="shared" si="17"/>
        <v>0</v>
      </c>
      <c r="AA20" s="242">
        <f t="shared" si="31"/>
        <v>0</v>
      </c>
      <c r="AB20" s="81">
        <f t="shared" si="32"/>
        <v>0</v>
      </c>
      <c r="AC20" s="82">
        <f t="shared" si="33"/>
        <v>1</v>
      </c>
      <c r="AD20" s="159">
        <f t="shared" si="18"/>
        <v>0</v>
      </c>
    </row>
    <row r="21" spans="1:30" x14ac:dyDescent="0.25">
      <c r="A21" s="46" t="s">
        <v>277</v>
      </c>
      <c r="B21" s="90">
        <v>1045002</v>
      </c>
      <c r="C21" s="91">
        <v>0.1</v>
      </c>
      <c r="D21" s="85">
        <f t="shared" si="19"/>
        <v>104500.20000000001</v>
      </c>
      <c r="E21" s="122">
        <v>0</v>
      </c>
      <c r="F21" s="123">
        <f t="shared" si="20"/>
        <v>0</v>
      </c>
      <c r="G21" s="122">
        <v>0</v>
      </c>
      <c r="H21" s="123">
        <f t="shared" si="21"/>
        <v>0</v>
      </c>
      <c r="I21" s="122">
        <v>0</v>
      </c>
      <c r="J21" s="123">
        <f t="shared" si="22"/>
        <v>0</v>
      </c>
      <c r="K21" s="93">
        <f t="shared" si="23"/>
        <v>0</v>
      </c>
      <c r="L21" s="86">
        <v>0</v>
      </c>
      <c r="M21" s="87">
        <f t="shared" si="24"/>
        <v>0</v>
      </c>
      <c r="N21" s="93">
        <f t="shared" si="25"/>
        <v>0</v>
      </c>
      <c r="O21" s="86">
        <v>0</v>
      </c>
      <c r="P21" s="87">
        <f t="shared" si="26"/>
        <v>0</v>
      </c>
      <c r="Q21" s="86">
        <v>0</v>
      </c>
      <c r="R21" s="87">
        <f t="shared" si="27"/>
        <v>0</v>
      </c>
      <c r="S21" s="93">
        <f t="shared" si="28"/>
        <v>0</v>
      </c>
      <c r="T21" s="88">
        <v>0.1</v>
      </c>
      <c r="U21" s="89">
        <f t="shared" si="29"/>
        <v>104500.20000000001</v>
      </c>
      <c r="V21" s="88">
        <v>0.7</v>
      </c>
      <c r="W21" s="89">
        <f t="shared" si="34"/>
        <v>731501.39999999991</v>
      </c>
      <c r="X21" s="93">
        <f t="shared" si="30"/>
        <v>836001.59999999986</v>
      </c>
      <c r="Y21" s="88">
        <v>0.1</v>
      </c>
      <c r="Z21" s="89">
        <f t="shared" si="17"/>
        <v>104500.20000000001</v>
      </c>
      <c r="AA21" s="242">
        <f t="shared" si="31"/>
        <v>104500.20000000001</v>
      </c>
      <c r="AB21" s="81">
        <f t="shared" si="32"/>
        <v>0</v>
      </c>
      <c r="AC21" s="82">
        <f t="shared" si="33"/>
        <v>0.99999999999999989</v>
      </c>
      <c r="AD21" s="159">
        <f t="shared" si="18"/>
        <v>104500.20000000001</v>
      </c>
    </row>
    <row r="22" spans="1:30" x14ac:dyDescent="0.25">
      <c r="A22" s="46" t="s">
        <v>121</v>
      </c>
      <c r="B22" s="90"/>
      <c r="C22" s="91">
        <v>0.1</v>
      </c>
      <c r="D22" s="85">
        <f t="shared" si="19"/>
        <v>0</v>
      </c>
      <c r="E22" s="122">
        <v>0.05</v>
      </c>
      <c r="F22" s="123">
        <f t="shared" si="20"/>
        <v>0</v>
      </c>
      <c r="G22" s="122">
        <v>0.05</v>
      </c>
      <c r="H22" s="123">
        <f t="shared" si="21"/>
        <v>0</v>
      </c>
      <c r="I22" s="122">
        <v>0.01</v>
      </c>
      <c r="J22" s="123">
        <f t="shared" si="22"/>
        <v>0</v>
      </c>
      <c r="K22" s="93">
        <f t="shared" si="23"/>
        <v>0</v>
      </c>
      <c r="L22" s="86">
        <v>0</v>
      </c>
      <c r="M22" s="87">
        <f t="shared" si="24"/>
        <v>0</v>
      </c>
      <c r="N22" s="93">
        <f t="shared" si="25"/>
        <v>0</v>
      </c>
      <c r="O22" s="86">
        <v>0.05</v>
      </c>
      <c r="P22" s="87">
        <f t="shared" si="26"/>
        <v>0</v>
      </c>
      <c r="Q22" s="86">
        <v>0.05</v>
      </c>
      <c r="R22" s="87">
        <f t="shared" si="27"/>
        <v>0</v>
      </c>
      <c r="S22" s="93">
        <f t="shared" si="28"/>
        <v>0</v>
      </c>
      <c r="T22" s="88">
        <v>0</v>
      </c>
      <c r="U22" s="89">
        <f t="shared" si="29"/>
        <v>0</v>
      </c>
      <c r="V22" s="88">
        <v>0.45</v>
      </c>
      <c r="W22" s="89">
        <f t="shared" si="34"/>
        <v>0</v>
      </c>
      <c r="X22" s="93">
        <f t="shared" si="30"/>
        <v>0</v>
      </c>
      <c r="Y22" s="88">
        <v>0.24</v>
      </c>
      <c r="Z22" s="89">
        <f t="shared" si="17"/>
        <v>0</v>
      </c>
      <c r="AA22" s="242">
        <f t="shared" si="31"/>
        <v>0</v>
      </c>
      <c r="AB22" s="81">
        <f t="shared" si="32"/>
        <v>0</v>
      </c>
      <c r="AC22" s="82">
        <f t="shared" si="33"/>
        <v>1</v>
      </c>
      <c r="AD22" s="159">
        <f t="shared" si="18"/>
        <v>0</v>
      </c>
    </row>
    <row r="23" spans="1:30" x14ac:dyDescent="0.25">
      <c r="A23" s="46" t="s">
        <v>111</v>
      </c>
      <c r="B23" s="90">
        <f>97920+419487</f>
        <v>517407</v>
      </c>
      <c r="C23" s="91">
        <v>0</v>
      </c>
      <c r="D23" s="85">
        <f t="shared" si="19"/>
        <v>0</v>
      </c>
      <c r="E23" s="122">
        <v>0</v>
      </c>
      <c r="F23" s="123">
        <f t="shared" si="20"/>
        <v>0</v>
      </c>
      <c r="G23" s="122">
        <v>0</v>
      </c>
      <c r="H23" s="123">
        <f t="shared" si="21"/>
        <v>0</v>
      </c>
      <c r="I23" s="122">
        <v>0</v>
      </c>
      <c r="J23" s="123">
        <f t="shared" si="22"/>
        <v>0</v>
      </c>
      <c r="K23" s="93">
        <f t="shared" si="23"/>
        <v>0</v>
      </c>
      <c r="L23" s="86">
        <v>0</v>
      </c>
      <c r="M23" s="87">
        <f t="shared" si="24"/>
        <v>0</v>
      </c>
      <c r="N23" s="93">
        <f t="shared" si="25"/>
        <v>0</v>
      </c>
      <c r="O23" s="86">
        <v>0</v>
      </c>
      <c r="P23" s="87">
        <f t="shared" si="26"/>
        <v>0</v>
      </c>
      <c r="Q23" s="86">
        <v>0</v>
      </c>
      <c r="R23" s="87">
        <f t="shared" si="27"/>
        <v>0</v>
      </c>
      <c r="S23" s="93">
        <f t="shared" si="28"/>
        <v>0</v>
      </c>
      <c r="T23" s="88">
        <v>0</v>
      </c>
      <c r="U23" s="89">
        <f t="shared" si="29"/>
        <v>0</v>
      </c>
      <c r="V23" s="88">
        <v>0</v>
      </c>
      <c r="W23" s="89">
        <f t="shared" si="34"/>
        <v>0</v>
      </c>
      <c r="X23" s="93">
        <f t="shared" si="30"/>
        <v>0</v>
      </c>
      <c r="Y23" s="88">
        <v>1</v>
      </c>
      <c r="Z23" s="89">
        <f t="shared" si="17"/>
        <v>517407</v>
      </c>
      <c r="AA23" s="242">
        <f t="shared" si="31"/>
        <v>517407</v>
      </c>
      <c r="AB23" s="81">
        <f t="shared" si="32"/>
        <v>0</v>
      </c>
      <c r="AC23" s="82">
        <f t="shared" si="33"/>
        <v>1</v>
      </c>
      <c r="AD23" s="159">
        <f t="shared" si="18"/>
        <v>517407</v>
      </c>
    </row>
    <row r="24" spans="1:30" x14ac:dyDescent="0.25">
      <c r="A24" s="46" t="s">
        <v>220</v>
      </c>
      <c r="B24" s="90">
        <v>191217</v>
      </c>
      <c r="C24" s="91">
        <v>0.1</v>
      </c>
      <c r="D24" s="85">
        <f t="shared" si="19"/>
        <v>19121.7</v>
      </c>
      <c r="E24" s="122">
        <v>0.05</v>
      </c>
      <c r="F24" s="123">
        <f t="shared" si="20"/>
        <v>9560.85</v>
      </c>
      <c r="G24" s="122">
        <v>0.15</v>
      </c>
      <c r="H24" s="123">
        <f t="shared" si="21"/>
        <v>28682.55</v>
      </c>
      <c r="I24" s="122">
        <v>0</v>
      </c>
      <c r="J24" s="123">
        <f t="shared" si="22"/>
        <v>0</v>
      </c>
      <c r="K24" s="93">
        <f t="shared" si="23"/>
        <v>38243.4</v>
      </c>
      <c r="L24" s="86">
        <v>0</v>
      </c>
      <c r="M24" s="87">
        <f t="shared" si="24"/>
        <v>0</v>
      </c>
      <c r="N24" s="93">
        <f t="shared" si="25"/>
        <v>0</v>
      </c>
      <c r="O24" s="86">
        <v>0</v>
      </c>
      <c r="P24" s="87">
        <f t="shared" si="26"/>
        <v>0</v>
      </c>
      <c r="Q24" s="86">
        <v>0.05</v>
      </c>
      <c r="R24" s="87">
        <f t="shared" si="27"/>
        <v>9560.85</v>
      </c>
      <c r="S24" s="93">
        <f t="shared" si="28"/>
        <v>9560.85</v>
      </c>
      <c r="T24" s="88">
        <v>0.15</v>
      </c>
      <c r="U24" s="89">
        <f t="shared" si="29"/>
        <v>28682.55</v>
      </c>
      <c r="V24" s="88">
        <v>0.45</v>
      </c>
      <c r="W24" s="89">
        <f t="shared" si="34"/>
        <v>86047.650000000009</v>
      </c>
      <c r="X24" s="93">
        <f t="shared" si="30"/>
        <v>114730.20000000001</v>
      </c>
      <c r="Y24" s="88">
        <v>0.05</v>
      </c>
      <c r="Z24" s="89">
        <f t="shared" si="17"/>
        <v>9560.85</v>
      </c>
      <c r="AA24" s="242">
        <f t="shared" si="31"/>
        <v>9560.85</v>
      </c>
      <c r="AB24" s="81">
        <f t="shared" si="32"/>
        <v>0</v>
      </c>
      <c r="AC24" s="82">
        <f t="shared" si="33"/>
        <v>1</v>
      </c>
      <c r="AD24" s="159">
        <f t="shared" si="18"/>
        <v>57365.100000000006</v>
      </c>
    </row>
    <row r="25" spans="1:30" x14ac:dyDescent="0.25">
      <c r="A25" s="46" t="s">
        <v>68</v>
      </c>
      <c r="B25" s="90">
        <v>239819</v>
      </c>
      <c r="C25" s="91">
        <v>0.1</v>
      </c>
      <c r="D25" s="85">
        <f t="shared" si="19"/>
        <v>23981.9</v>
      </c>
      <c r="E25" s="122">
        <v>0.05</v>
      </c>
      <c r="F25" s="123">
        <f t="shared" si="20"/>
        <v>11990.95</v>
      </c>
      <c r="G25" s="122">
        <v>0.15</v>
      </c>
      <c r="H25" s="123">
        <f t="shared" si="21"/>
        <v>35972.85</v>
      </c>
      <c r="I25" s="122">
        <v>0</v>
      </c>
      <c r="J25" s="123">
        <f t="shared" si="22"/>
        <v>0</v>
      </c>
      <c r="K25" s="93">
        <f t="shared" si="23"/>
        <v>47963.8</v>
      </c>
      <c r="L25" s="86">
        <v>0</v>
      </c>
      <c r="M25" s="87">
        <f t="shared" si="24"/>
        <v>0</v>
      </c>
      <c r="N25" s="93">
        <f t="shared" si="25"/>
        <v>0</v>
      </c>
      <c r="O25" s="86">
        <v>0</v>
      </c>
      <c r="P25" s="87">
        <f t="shared" si="26"/>
        <v>0</v>
      </c>
      <c r="Q25" s="86">
        <v>0.05</v>
      </c>
      <c r="R25" s="87">
        <f t="shared" si="27"/>
        <v>11990.95</v>
      </c>
      <c r="S25" s="93">
        <f t="shared" si="28"/>
        <v>11990.95</v>
      </c>
      <c r="T25" s="88">
        <v>0.15</v>
      </c>
      <c r="U25" s="89">
        <f t="shared" si="29"/>
        <v>35972.85</v>
      </c>
      <c r="V25" s="88">
        <v>0.45</v>
      </c>
      <c r="W25" s="89">
        <f t="shared" si="34"/>
        <v>107918.55</v>
      </c>
      <c r="X25" s="93">
        <f t="shared" si="30"/>
        <v>143891.4</v>
      </c>
      <c r="Y25" s="88">
        <v>0.05</v>
      </c>
      <c r="Z25" s="89">
        <f t="shared" si="17"/>
        <v>11990.95</v>
      </c>
      <c r="AA25" s="242">
        <f t="shared" si="31"/>
        <v>11990.95</v>
      </c>
      <c r="AB25" s="81">
        <f t="shared" si="32"/>
        <v>0</v>
      </c>
      <c r="AC25" s="82">
        <f t="shared" si="33"/>
        <v>1</v>
      </c>
      <c r="AD25" s="159">
        <f t="shared" si="18"/>
        <v>71945.700000000012</v>
      </c>
    </row>
    <row r="26" spans="1:30" x14ac:dyDescent="0.25">
      <c r="A26" s="46" t="s">
        <v>187</v>
      </c>
      <c r="B26" s="90"/>
      <c r="C26" s="91">
        <v>0.1</v>
      </c>
      <c r="D26" s="85">
        <f t="shared" si="19"/>
        <v>0</v>
      </c>
      <c r="E26" s="122">
        <v>0</v>
      </c>
      <c r="F26" s="123">
        <f t="shared" si="20"/>
        <v>0</v>
      </c>
      <c r="G26" s="122">
        <v>0</v>
      </c>
      <c r="H26" s="123">
        <f t="shared" si="21"/>
        <v>0</v>
      </c>
      <c r="I26" s="122">
        <v>0.1</v>
      </c>
      <c r="J26" s="123">
        <f t="shared" si="22"/>
        <v>0</v>
      </c>
      <c r="K26" s="93">
        <f t="shared" si="23"/>
        <v>0</v>
      </c>
      <c r="L26" s="86">
        <v>0</v>
      </c>
      <c r="M26" s="87">
        <f t="shared" si="24"/>
        <v>0</v>
      </c>
      <c r="N26" s="93">
        <f t="shared" si="25"/>
        <v>0</v>
      </c>
      <c r="O26" s="86">
        <v>0.05</v>
      </c>
      <c r="P26" s="87">
        <f t="shared" si="26"/>
        <v>0</v>
      </c>
      <c r="Q26" s="86">
        <v>0.1</v>
      </c>
      <c r="R26" s="87">
        <f t="shared" si="27"/>
        <v>0</v>
      </c>
      <c r="S26" s="93">
        <f t="shared" si="28"/>
        <v>0</v>
      </c>
      <c r="T26" s="88">
        <v>0.05</v>
      </c>
      <c r="U26" s="89">
        <f t="shared" si="29"/>
        <v>0</v>
      </c>
      <c r="V26" s="88">
        <v>0.6</v>
      </c>
      <c r="W26" s="89">
        <f t="shared" si="34"/>
        <v>0</v>
      </c>
      <c r="X26" s="93">
        <f t="shared" si="30"/>
        <v>0</v>
      </c>
      <c r="Y26" s="88">
        <v>0</v>
      </c>
      <c r="Z26" s="89">
        <f t="shared" si="17"/>
        <v>0</v>
      </c>
      <c r="AA26" s="242">
        <f t="shared" si="31"/>
        <v>0</v>
      </c>
      <c r="AB26" s="81">
        <f t="shared" si="32"/>
        <v>0</v>
      </c>
      <c r="AC26" s="82">
        <f t="shared" si="33"/>
        <v>1</v>
      </c>
      <c r="AD26" s="159">
        <f t="shared" si="18"/>
        <v>0</v>
      </c>
    </row>
    <row r="27" spans="1:30" x14ac:dyDescent="0.25">
      <c r="A27" s="46" t="s">
        <v>188</v>
      </c>
      <c r="B27" s="90">
        <f>140300+537112</f>
        <v>677412</v>
      </c>
      <c r="C27" s="91">
        <v>0.1</v>
      </c>
      <c r="D27" s="85">
        <f t="shared" si="19"/>
        <v>67741.2</v>
      </c>
      <c r="E27" s="122">
        <v>0</v>
      </c>
      <c r="F27" s="123">
        <f t="shared" si="20"/>
        <v>0</v>
      </c>
      <c r="G27" s="122">
        <v>0.1</v>
      </c>
      <c r="H27" s="123">
        <f t="shared" si="21"/>
        <v>67741.2</v>
      </c>
      <c r="I27" s="122">
        <v>0.02</v>
      </c>
      <c r="J27" s="123">
        <f t="shared" si="22"/>
        <v>13548.24</v>
      </c>
      <c r="K27" s="93">
        <f t="shared" si="23"/>
        <v>81289.440000000002</v>
      </c>
      <c r="L27" s="86">
        <v>0</v>
      </c>
      <c r="M27" s="87">
        <f t="shared" si="24"/>
        <v>0</v>
      </c>
      <c r="N27" s="93">
        <f t="shared" si="25"/>
        <v>0</v>
      </c>
      <c r="O27" s="86">
        <v>0.1</v>
      </c>
      <c r="P27" s="87">
        <f t="shared" si="26"/>
        <v>67741.2</v>
      </c>
      <c r="Q27" s="86">
        <v>0.05</v>
      </c>
      <c r="R27" s="87">
        <f t="shared" si="27"/>
        <v>33870.6</v>
      </c>
      <c r="S27" s="93">
        <f t="shared" si="28"/>
        <v>101611.79999999999</v>
      </c>
      <c r="T27" s="88">
        <v>0.02</v>
      </c>
      <c r="U27" s="89">
        <f t="shared" si="29"/>
        <v>13548.24</v>
      </c>
      <c r="V27" s="88">
        <v>0.61</v>
      </c>
      <c r="W27" s="89">
        <f t="shared" si="34"/>
        <v>413221.32</v>
      </c>
      <c r="X27" s="93">
        <f t="shared" si="30"/>
        <v>426769.56</v>
      </c>
      <c r="Y27" s="88">
        <v>0</v>
      </c>
      <c r="Z27" s="89">
        <f t="shared" si="17"/>
        <v>0</v>
      </c>
      <c r="AA27" s="242">
        <f t="shared" si="31"/>
        <v>0</v>
      </c>
      <c r="AB27" s="81">
        <f t="shared" si="32"/>
        <v>0</v>
      </c>
      <c r="AC27" s="82">
        <f t="shared" si="33"/>
        <v>1</v>
      </c>
      <c r="AD27" s="159">
        <f t="shared" si="18"/>
        <v>182901.24</v>
      </c>
    </row>
    <row r="28" spans="1:30" x14ac:dyDescent="0.25">
      <c r="A28" s="46" t="s">
        <v>263</v>
      </c>
      <c r="B28" s="90"/>
      <c r="C28" s="91">
        <v>0.1</v>
      </c>
      <c r="D28" s="85">
        <f t="shared" si="19"/>
        <v>0</v>
      </c>
      <c r="E28" s="122">
        <v>0</v>
      </c>
      <c r="F28" s="123">
        <f t="shared" si="20"/>
        <v>0</v>
      </c>
      <c r="G28" s="122">
        <v>0.1</v>
      </c>
      <c r="H28" s="123">
        <f t="shared" si="21"/>
        <v>0</v>
      </c>
      <c r="I28" s="122">
        <v>0.02</v>
      </c>
      <c r="J28" s="123">
        <f t="shared" si="22"/>
        <v>0</v>
      </c>
      <c r="K28" s="93">
        <f t="shared" si="23"/>
        <v>0</v>
      </c>
      <c r="L28" s="86">
        <v>0</v>
      </c>
      <c r="M28" s="87">
        <f t="shared" si="24"/>
        <v>0</v>
      </c>
      <c r="N28" s="93">
        <f t="shared" si="25"/>
        <v>0</v>
      </c>
      <c r="O28" s="86">
        <v>0.1</v>
      </c>
      <c r="P28" s="87">
        <f t="shared" si="26"/>
        <v>0</v>
      </c>
      <c r="Q28" s="86">
        <v>0.05</v>
      </c>
      <c r="R28" s="87">
        <f t="shared" si="27"/>
        <v>0</v>
      </c>
      <c r="S28" s="93">
        <f t="shared" si="28"/>
        <v>0</v>
      </c>
      <c r="T28" s="88">
        <v>0.02</v>
      </c>
      <c r="U28" s="89">
        <f t="shared" si="29"/>
        <v>0</v>
      </c>
      <c r="V28" s="88">
        <v>0.61</v>
      </c>
      <c r="W28" s="89">
        <f t="shared" si="34"/>
        <v>0</v>
      </c>
      <c r="X28" s="93">
        <f t="shared" si="30"/>
        <v>0</v>
      </c>
      <c r="Y28" s="88">
        <v>0</v>
      </c>
      <c r="Z28" s="89">
        <f t="shared" si="17"/>
        <v>0</v>
      </c>
      <c r="AA28" s="242">
        <f t="shared" si="31"/>
        <v>0</v>
      </c>
      <c r="AB28" s="81">
        <f t="shared" si="32"/>
        <v>0</v>
      </c>
      <c r="AC28" s="82">
        <f t="shared" si="33"/>
        <v>1</v>
      </c>
      <c r="AD28" s="159">
        <f t="shared" si="18"/>
        <v>0</v>
      </c>
    </row>
    <row r="29" spans="1:30" x14ac:dyDescent="0.25">
      <c r="A29" s="46" t="s">
        <v>108</v>
      </c>
      <c r="B29" s="90"/>
      <c r="C29" s="91">
        <v>0.1</v>
      </c>
      <c r="D29" s="85">
        <f t="shared" si="19"/>
        <v>0</v>
      </c>
      <c r="E29" s="122">
        <v>0.05</v>
      </c>
      <c r="F29" s="123">
        <f t="shared" si="20"/>
        <v>0</v>
      </c>
      <c r="G29" s="122">
        <v>0.05</v>
      </c>
      <c r="H29" s="123">
        <f t="shared" si="21"/>
        <v>0</v>
      </c>
      <c r="I29" s="122">
        <v>0.01</v>
      </c>
      <c r="J29" s="123">
        <f t="shared" si="22"/>
        <v>0</v>
      </c>
      <c r="K29" s="93">
        <f t="shared" si="23"/>
        <v>0</v>
      </c>
      <c r="L29" s="86">
        <v>0</v>
      </c>
      <c r="M29" s="87">
        <f t="shared" si="24"/>
        <v>0</v>
      </c>
      <c r="N29" s="93">
        <f t="shared" si="25"/>
        <v>0</v>
      </c>
      <c r="O29" s="86">
        <v>0.02</v>
      </c>
      <c r="P29" s="87">
        <f t="shared" si="26"/>
        <v>0</v>
      </c>
      <c r="Q29" s="86">
        <v>0.25</v>
      </c>
      <c r="R29" s="87">
        <f t="shared" si="27"/>
        <v>0</v>
      </c>
      <c r="S29" s="93">
        <f t="shared" si="28"/>
        <v>0</v>
      </c>
      <c r="T29" s="88">
        <v>0.02</v>
      </c>
      <c r="U29" s="89">
        <f t="shared" si="29"/>
        <v>0</v>
      </c>
      <c r="V29" s="88">
        <v>0.5</v>
      </c>
      <c r="W29" s="89">
        <f t="shared" si="34"/>
        <v>0</v>
      </c>
      <c r="X29" s="93">
        <f t="shared" si="30"/>
        <v>0</v>
      </c>
      <c r="Y29" s="88">
        <v>0</v>
      </c>
      <c r="Z29" s="89">
        <f t="shared" si="17"/>
        <v>0</v>
      </c>
      <c r="AA29" s="242">
        <f t="shared" si="31"/>
        <v>0</v>
      </c>
      <c r="AB29" s="81">
        <f t="shared" si="32"/>
        <v>0</v>
      </c>
      <c r="AC29" s="82">
        <f t="shared" si="33"/>
        <v>1</v>
      </c>
      <c r="AD29" s="159">
        <f t="shared" si="18"/>
        <v>0</v>
      </c>
    </row>
    <row r="30" spans="1:30" x14ac:dyDescent="0.25">
      <c r="A30" s="46" t="s">
        <v>155</v>
      </c>
      <c r="B30" s="90"/>
      <c r="C30" s="91">
        <v>0.1</v>
      </c>
      <c r="D30" s="85">
        <f t="shared" si="19"/>
        <v>0</v>
      </c>
      <c r="E30" s="122">
        <v>0</v>
      </c>
      <c r="F30" s="123">
        <f t="shared" si="20"/>
        <v>0</v>
      </c>
      <c r="G30" s="122">
        <v>0</v>
      </c>
      <c r="H30" s="123">
        <f t="shared" si="21"/>
        <v>0</v>
      </c>
      <c r="I30" s="122">
        <v>0</v>
      </c>
      <c r="J30" s="123">
        <f t="shared" si="22"/>
        <v>0</v>
      </c>
      <c r="K30" s="93">
        <f t="shared" si="23"/>
        <v>0</v>
      </c>
      <c r="L30" s="86">
        <v>0.1</v>
      </c>
      <c r="M30" s="87">
        <f t="shared" si="24"/>
        <v>0</v>
      </c>
      <c r="N30" s="93">
        <f t="shared" si="25"/>
        <v>0</v>
      </c>
      <c r="O30" s="86">
        <v>0.1</v>
      </c>
      <c r="P30" s="87">
        <f t="shared" si="26"/>
        <v>0</v>
      </c>
      <c r="Q30" s="86">
        <v>0.28000000000000003</v>
      </c>
      <c r="R30" s="87">
        <f t="shared" si="27"/>
        <v>0</v>
      </c>
      <c r="S30" s="93">
        <f t="shared" si="28"/>
        <v>0</v>
      </c>
      <c r="T30" s="88">
        <v>0.02</v>
      </c>
      <c r="U30" s="89">
        <f t="shared" si="29"/>
        <v>0</v>
      </c>
      <c r="V30" s="88">
        <v>0.4</v>
      </c>
      <c r="W30" s="89">
        <f t="shared" si="34"/>
        <v>0</v>
      </c>
      <c r="X30" s="93">
        <f t="shared" si="30"/>
        <v>0</v>
      </c>
      <c r="Y30" s="88">
        <v>0</v>
      </c>
      <c r="Z30" s="89">
        <f t="shared" si="17"/>
        <v>0</v>
      </c>
      <c r="AA30" s="242">
        <f t="shared" si="31"/>
        <v>0</v>
      </c>
      <c r="AB30" s="81">
        <f t="shared" si="32"/>
        <v>0</v>
      </c>
      <c r="AC30" s="82">
        <f t="shared" si="33"/>
        <v>1</v>
      </c>
      <c r="AD30" s="159">
        <f t="shared" si="18"/>
        <v>0</v>
      </c>
    </row>
    <row r="31" spans="1:30" x14ac:dyDescent="0.25">
      <c r="A31" s="46" t="s">
        <v>115</v>
      </c>
      <c r="B31" s="90"/>
      <c r="C31" s="91">
        <v>0.1</v>
      </c>
      <c r="D31" s="85">
        <f t="shared" si="19"/>
        <v>0</v>
      </c>
      <c r="E31" s="122">
        <v>0</v>
      </c>
      <c r="F31" s="123">
        <f t="shared" si="20"/>
        <v>0</v>
      </c>
      <c r="G31" s="122">
        <v>0</v>
      </c>
      <c r="H31" s="123">
        <f t="shared" si="21"/>
        <v>0</v>
      </c>
      <c r="I31" s="122">
        <v>0</v>
      </c>
      <c r="J31" s="123">
        <f t="shared" si="22"/>
        <v>0</v>
      </c>
      <c r="K31" s="93">
        <f t="shared" si="23"/>
        <v>0</v>
      </c>
      <c r="L31" s="86">
        <v>0.01</v>
      </c>
      <c r="M31" s="87">
        <f t="shared" si="24"/>
        <v>0</v>
      </c>
      <c r="N31" s="93">
        <f t="shared" si="25"/>
        <v>0</v>
      </c>
      <c r="O31" s="86">
        <v>0.1</v>
      </c>
      <c r="P31" s="87">
        <f t="shared" si="26"/>
        <v>0</v>
      </c>
      <c r="Q31" s="86">
        <v>0.2</v>
      </c>
      <c r="R31" s="87">
        <f t="shared" si="27"/>
        <v>0</v>
      </c>
      <c r="S31" s="93">
        <f t="shared" si="28"/>
        <v>0</v>
      </c>
      <c r="T31" s="88">
        <v>0.05</v>
      </c>
      <c r="U31" s="89">
        <f t="shared" si="29"/>
        <v>0</v>
      </c>
      <c r="V31" s="88">
        <v>0.5</v>
      </c>
      <c r="W31" s="89">
        <f t="shared" si="34"/>
        <v>0</v>
      </c>
      <c r="X31" s="93">
        <f t="shared" si="30"/>
        <v>0</v>
      </c>
      <c r="Y31" s="88">
        <v>0.04</v>
      </c>
      <c r="Z31" s="89">
        <f t="shared" si="17"/>
        <v>0</v>
      </c>
      <c r="AA31" s="242">
        <f t="shared" si="31"/>
        <v>0</v>
      </c>
      <c r="AB31" s="81">
        <f t="shared" si="32"/>
        <v>0</v>
      </c>
      <c r="AC31" s="82">
        <f t="shared" si="33"/>
        <v>1</v>
      </c>
      <c r="AD31" s="159">
        <f t="shared" si="18"/>
        <v>0</v>
      </c>
    </row>
    <row r="32" spans="1:30" x14ac:dyDescent="0.25">
      <c r="A32" s="46" t="s">
        <v>72</v>
      </c>
      <c r="B32" s="90">
        <v>350000</v>
      </c>
      <c r="C32" s="91">
        <v>0.1</v>
      </c>
      <c r="D32" s="85">
        <f t="shared" si="19"/>
        <v>35000</v>
      </c>
      <c r="E32" s="122">
        <v>0</v>
      </c>
      <c r="F32" s="123">
        <f t="shared" si="20"/>
        <v>0</v>
      </c>
      <c r="G32" s="122">
        <v>0</v>
      </c>
      <c r="H32" s="123">
        <f t="shared" si="21"/>
        <v>0</v>
      </c>
      <c r="I32" s="122">
        <v>0</v>
      </c>
      <c r="J32" s="123">
        <f t="shared" si="22"/>
        <v>0</v>
      </c>
      <c r="K32" s="93">
        <f t="shared" si="23"/>
        <v>0</v>
      </c>
      <c r="L32" s="86">
        <v>0.01</v>
      </c>
      <c r="M32" s="87">
        <f t="shared" si="24"/>
        <v>3500</v>
      </c>
      <c r="N32" s="93">
        <f t="shared" si="25"/>
        <v>3500</v>
      </c>
      <c r="O32" s="86">
        <v>0.1</v>
      </c>
      <c r="P32" s="87">
        <f t="shared" si="26"/>
        <v>35000</v>
      </c>
      <c r="Q32" s="86">
        <v>0.2</v>
      </c>
      <c r="R32" s="87">
        <f t="shared" si="27"/>
        <v>70000</v>
      </c>
      <c r="S32" s="93">
        <f t="shared" si="28"/>
        <v>105000</v>
      </c>
      <c r="T32" s="88">
        <v>0.05</v>
      </c>
      <c r="U32" s="89">
        <f t="shared" si="29"/>
        <v>17500</v>
      </c>
      <c r="V32" s="88">
        <v>0.3</v>
      </c>
      <c r="W32" s="89">
        <f t="shared" si="34"/>
        <v>105000</v>
      </c>
      <c r="X32" s="93">
        <f t="shared" si="30"/>
        <v>122500</v>
      </c>
      <c r="Y32" s="88">
        <v>0.24</v>
      </c>
      <c r="Z32" s="89">
        <f t="shared" si="17"/>
        <v>84000</v>
      </c>
      <c r="AA32" s="242">
        <f t="shared" si="31"/>
        <v>84000</v>
      </c>
      <c r="AB32" s="81">
        <f t="shared" si="32"/>
        <v>0</v>
      </c>
      <c r="AC32" s="82">
        <f t="shared" si="33"/>
        <v>1</v>
      </c>
      <c r="AD32" s="159">
        <f t="shared" si="18"/>
        <v>189000</v>
      </c>
    </row>
    <row r="33" spans="1:30" x14ac:dyDescent="0.25">
      <c r="A33" s="46" t="s">
        <v>52</v>
      </c>
      <c r="B33" s="90">
        <v>470500</v>
      </c>
      <c r="C33" s="91">
        <v>0.1</v>
      </c>
      <c r="D33" s="85">
        <f t="shared" si="19"/>
        <v>47050</v>
      </c>
      <c r="E33" s="122">
        <v>0</v>
      </c>
      <c r="F33" s="123">
        <f t="shared" si="20"/>
        <v>0</v>
      </c>
      <c r="G33" s="122">
        <v>0</v>
      </c>
      <c r="H33" s="123">
        <f t="shared" si="21"/>
        <v>0</v>
      </c>
      <c r="I33" s="122">
        <v>0</v>
      </c>
      <c r="J33" s="123">
        <f t="shared" si="22"/>
        <v>0</v>
      </c>
      <c r="K33" s="93">
        <f t="shared" si="23"/>
        <v>0</v>
      </c>
      <c r="L33" s="86">
        <v>0.01</v>
      </c>
      <c r="M33" s="87">
        <f t="shared" si="24"/>
        <v>4705</v>
      </c>
      <c r="N33" s="93">
        <f t="shared" si="25"/>
        <v>4705</v>
      </c>
      <c r="O33" s="86">
        <v>0.1</v>
      </c>
      <c r="P33" s="87">
        <f t="shared" si="26"/>
        <v>47050</v>
      </c>
      <c r="Q33" s="86">
        <v>0.2</v>
      </c>
      <c r="R33" s="87">
        <f t="shared" si="27"/>
        <v>94100</v>
      </c>
      <c r="S33" s="93">
        <f t="shared" si="28"/>
        <v>141150</v>
      </c>
      <c r="T33" s="88">
        <v>0.05</v>
      </c>
      <c r="U33" s="89">
        <f t="shared" si="29"/>
        <v>23525</v>
      </c>
      <c r="V33" s="88">
        <v>0.54</v>
      </c>
      <c r="W33" s="89">
        <f t="shared" si="34"/>
        <v>254070.00000000003</v>
      </c>
      <c r="X33" s="93">
        <f t="shared" si="30"/>
        <v>277595</v>
      </c>
      <c r="Y33" s="88">
        <v>0</v>
      </c>
      <c r="Z33" s="89">
        <f t="shared" si="17"/>
        <v>0</v>
      </c>
      <c r="AA33" s="242">
        <f t="shared" si="31"/>
        <v>0</v>
      </c>
      <c r="AB33" s="81">
        <f t="shared" si="32"/>
        <v>0</v>
      </c>
      <c r="AC33" s="82">
        <f t="shared" si="33"/>
        <v>1</v>
      </c>
      <c r="AD33" s="159">
        <f t="shared" si="18"/>
        <v>141150</v>
      </c>
    </row>
    <row r="34" spans="1:30" x14ac:dyDescent="0.25">
      <c r="A34" s="46" t="s">
        <v>189</v>
      </c>
      <c r="B34" s="90"/>
      <c r="C34" s="91">
        <v>0.1</v>
      </c>
      <c r="D34" s="85">
        <f t="shared" si="19"/>
        <v>0</v>
      </c>
      <c r="E34" s="122">
        <v>0</v>
      </c>
      <c r="F34" s="123">
        <f t="shared" si="20"/>
        <v>0</v>
      </c>
      <c r="G34" s="122">
        <v>0</v>
      </c>
      <c r="H34" s="123">
        <f t="shared" si="21"/>
        <v>0</v>
      </c>
      <c r="I34" s="122">
        <v>0</v>
      </c>
      <c r="J34" s="123">
        <f t="shared" si="22"/>
        <v>0</v>
      </c>
      <c r="K34" s="93">
        <f t="shared" si="23"/>
        <v>0</v>
      </c>
      <c r="L34" s="86">
        <v>0.01</v>
      </c>
      <c r="M34" s="87">
        <f t="shared" si="24"/>
        <v>0</v>
      </c>
      <c r="N34" s="93">
        <f t="shared" si="25"/>
        <v>0</v>
      </c>
      <c r="O34" s="86">
        <v>0.1</v>
      </c>
      <c r="P34" s="87">
        <f t="shared" si="26"/>
        <v>0</v>
      </c>
      <c r="Q34" s="86">
        <v>0.2</v>
      </c>
      <c r="R34" s="87">
        <f t="shared" si="27"/>
        <v>0</v>
      </c>
      <c r="S34" s="93">
        <f t="shared" si="28"/>
        <v>0</v>
      </c>
      <c r="T34" s="88">
        <v>0.05</v>
      </c>
      <c r="U34" s="89">
        <f t="shared" si="29"/>
        <v>0</v>
      </c>
      <c r="V34" s="88">
        <v>0.54</v>
      </c>
      <c r="W34" s="89">
        <f t="shared" si="34"/>
        <v>0</v>
      </c>
      <c r="X34" s="93">
        <f t="shared" si="30"/>
        <v>0</v>
      </c>
      <c r="Y34" s="88">
        <v>0</v>
      </c>
      <c r="Z34" s="89">
        <f t="shared" si="17"/>
        <v>0</v>
      </c>
      <c r="AA34" s="242">
        <f t="shared" si="31"/>
        <v>0</v>
      </c>
      <c r="AB34" s="81">
        <f t="shared" si="32"/>
        <v>0</v>
      </c>
      <c r="AC34" s="82">
        <f t="shared" si="33"/>
        <v>1</v>
      </c>
      <c r="AD34" s="159">
        <f t="shared" si="18"/>
        <v>0</v>
      </c>
    </row>
    <row r="35" spans="1:30" x14ac:dyDescent="0.25">
      <c r="A35" s="46" t="s">
        <v>190</v>
      </c>
      <c r="B35" s="90"/>
      <c r="C35" s="91">
        <v>0.1</v>
      </c>
      <c r="D35" s="85">
        <f t="shared" si="19"/>
        <v>0</v>
      </c>
      <c r="E35" s="122">
        <v>0</v>
      </c>
      <c r="F35" s="123">
        <f t="shared" si="20"/>
        <v>0</v>
      </c>
      <c r="G35" s="122">
        <v>0</v>
      </c>
      <c r="H35" s="123">
        <f t="shared" si="21"/>
        <v>0</v>
      </c>
      <c r="I35" s="122">
        <v>0</v>
      </c>
      <c r="J35" s="123">
        <f t="shared" si="22"/>
        <v>0</v>
      </c>
      <c r="K35" s="93">
        <f t="shared" si="23"/>
        <v>0</v>
      </c>
      <c r="L35" s="86">
        <v>0.01</v>
      </c>
      <c r="M35" s="87">
        <f t="shared" si="24"/>
        <v>0</v>
      </c>
      <c r="N35" s="93">
        <f t="shared" si="25"/>
        <v>0</v>
      </c>
      <c r="O35" s="86">
        <v>0.1</v>
      </c>
      <c r="P35" s="87">
        <f t="shared" si="26"/>
        <v>0</v>
      </c>
      <c r="Q35" s="86">
        <v>0.2</v>
      </c>
      <c r="R35" s="87">
        <f t="shared" si="27"/>
        <v>0</v>
      </c>
      <c r="S35" s="93">
        <f t="shared" si="28"/>
        <v>0</v>
      </c>
      <c r="T35" s="88">
        <v>0.05</v>
      </c>
      <c r="U35" s="89">
        <f t="shared" si="29"/>
        <v>0</v>
      </c>
      <c r="V35" s="88">
        <v>0.54</v>
      </c>
      <c r="W35" s="89">
        <f t="shared" si="34"/>
        <v>0</v>
      </c>
      <c r="X35" s="93">
        <f t="shared" si="30"/>
        <v>0</v>
      </c>
      <c r="Y35" s="88">
        <v>0</v>
      </c>
      <c r="Z35" s="89">
        <f t="shared" si="17"/>
        <v>0</v>
      </c>
      <c r="AA35" s="242">
        <f t="shared" si="31"/>
        <v>0</v>
      </c>
      <c r="AB35" s="81">
        <f t="shared" si="32"/>
        <v>0</v>
      </c>
      <c r="AC35" s="82">
        <f t="shared" si="33"/>
        <v>1</v>
      </c>
      <c r="AD35" s="159">
        <f t="shared" si="18"/>
        <v>0</v>
      </c>
    </row>
    <row r="36" spans="1:30" x14ac:dyDescent="0.25">
      <c r="A36" s="46" t="s">
        <v>6</v>
      </c>
      <c r="B36" s="90"/>
      <c r="C36" s="91">
        <v>0.1</v>
      </c>
      <c r="D36" s="85">
        <f t="shared" si="19"/>
        <v>0</v>
      </c>
      <c r="E36" s="122">
        <v>0</v>
      </c>
      <c r="F36" s="123">
        <f t="shared" si="20"/>
        <v>0</v>
      </c>
      <c r="G36" s="122">
        <v>0</v>
      </c>
      <c r="H36" s="123">
        <f t="shared" si="21"/>
        <v>0</v>
      </c>
      <c r="I36" s="122">
        <v>0</v>
      </c>
      <c r="J36" s="123">
        <f t="shared" si="22"/>
        <v>0</v>
      </c>
      <c r="K36" s="93">
        <f t="shared" si="23"/>
        <v>0</v>
      </c>
      <c r="L36" s="86">
        <v>0</v>
      </c>
      <c r="M36" s="87">
        <f t="shared" si="24"/>
        <v>0</v>
      </c>
      <c r="N36" s="93">
        <f t="shared" si="25"/>
        <v>0</v>
      </c>
      <c r="O36" s="86">
        <v>0</v>
      </c>
      <c r="P36" s="87">
        <f t="shared" si="26"/>
        <v>0</v>
      </c>
      <c r="Q36" s="86">
        <v>0</v>
      </c>
      <c r="R36" s="87">
        <f t="shared" si="27"/>
        <v>0</v>
      </c>
      <c r="S36" s="93">
        <f t="shared" si="28"/>
        <v>0</v>
      </c>
      <c r="T36" s="88">
        <v>0</v>
      </c>
      <c r="U36" s="89">
        <f t="shared" si="29"/>
        <v>0</v>
      </c>
      <c r="V36" s="88">
        <v>0.2</v>
      </c>
      <c r="W36" s="89">
        <f t="shared" si="34"/>
        <v>0</v>
      </c>
      <c r="X36" s="93">
        <f t="shared" si="30"/>
        <v>0</v>
      </c>
      <c r="Y36" s="88">
        <v>0.7</v>
      </c>
      <c r="Z36" s="89">
        <f t="shared" si="17"/>
        <v>0</v>
      </c>
      <c r="AA36" s="242">
        <f t="shared" si="31"/>
        <v>0</v>
      </c>
      <c r="AB36" s="81">
        <f t="shared" si="32"/>
        <v>0</v>
      </c>
      <c r="AC36" s="82">
        <f t="shared" si="33"/>
        <v>1</v>
      </c>
      <c r="AD36" s="159">
        <f t="shared" si="18"/>
        <v>0</v>
      </c>
    </row>
    <row r="37" spans="1:30" x14ac:dyDescent="0.25">
      <c r="A37" s="46" t="s">
        <v>191</v>
      </c>
      <c r="B37" s="90">
        <v>188981</v>
      </c>
      <c r="C37" s="91">
        <v>0.1</v>
      </c>
      <c r="D37" s="85">
        <f t="shared" si="19"/>
        <v>18898.100000000002</v>
      </c>
      <c r="E37" s="122">
        <v>0</v>
      </c>
      <c r="F37" s="123">
        <f t="shared" si="20"/>
        <v>0</v>
      </c>
      <c r="G37" s="122">
        <v>0</v>
      </c>
      <c r="H37" s="123">
        <f t="shared" si="21"/>
        <v>0</v>
      </c>
      <c r="I37" s="122">
        <v>0</v>
      </c>
      <c r="J37" s="123">
        <f t="shared" si="22"/>
        <v>0</v>
      </c>
      <c r="K37" s="93">
        <f t="shared" si="23"/>
        <v>0</v>
      </c>
      <c r="L37" s="86">
        <v>0.01</v>
      </c>
      <c r="M37" s="87">
        <f t="shared" si="24"/>
        <v>1889.81</v>
      </c>
      <c r="N37" s="93">
        <f t="shared" si="25"/>
        <v>1889.81</v>
      </c>
      <c r="O37" s="86">
        <v>0.05</v>
      </c>
      <c r="P37" s="87">
        <f t="shared" si="26"/>
        <v>9449.0500000000011</v>
      </c>
      <c r="Q37" s="86">
        <v>0.1</v>
      </c>
      <c r="R37" s="87">
        <f t="shared" si="27"/>
        <v>18898.100000000002</v>
      </c>
      <c r="S37" s="93">
        <f t="shared" si="28"/>
        <v>28347.15</v>
      </c>
      <c r="T37" s="88">
        <v>0.02</v>
      </c>
      <c r="U37" s="89">
        <f t="shared" si="29"/>
        <v>3779.62</v>
      </c>
      <c r="V37" s="88">
        <v>0.4</v>
      </c>
      <c r="W37" s="89">
        <f t="shared" si="34"/>
        <v>75592.400000000009</v>
      </c>
      <c r="X37" s="93">
        <f t="shared" si="30"/>
        <v>79372.02</v>
      </c>
      <c r="Y37" s="88">
        <v>0.32</v>
      </c>
      <c r="Z37" s="89">
        <f t="shared" si="17"/>
        <v>60473.919999999998</v>
      </c>
      <c r="AA37" s="242">
        <f t="shared" si="31"/>
        <v>60473.919999999998</v>
      </c>
      <c r="AB37" s="81">
        <f t="shared" si="32"/>
        <v>0</v>
      </c>
      <c r="AC37" s="82">
        <f t="shared" si="33"/>
        <v>1</v>
      </c>
      <c r="AD37" s="159">
        <f t="shared" si="18"/>
        <v>88821.07</v>
      </c>
    </row>
    <row r="38" spans="1:30" x14ac:dyDescent="0.25">
      <c r="A38" s="46" t="s">
        <v>269</v>
      </c>
      <c r="B38" s="90">
        <v>155491</v>
      </c>
      <c r="C38" s="91">
        <v>0</v>
      </c>
      <c r="D38" s="85">
        <f t="shared" si="19"/>
        <v>0</v>
      </c>
      <c r="E38" s="122">
        <v>0</v>
      </c>
      <c r="F38" s="123">
        <f t="shared" si="20"/>
        <v>0</v>
      </c>
      <c r="G38" s="122">
        <v>0</v>
      </c>
      <c r="H38" s="123">
        <f t="shared" si="21"/>
        <v>0</v>
      </c>
      <c r="I38" s="122">
        <v>0</v>
      </c>
      <c r="J38" s="123">
        <f t="shared" si="22"/>
        <v>0</v>
      </c>
      <c r="K38" s="93">
        <f t="shared" si="23"/>
        <v>0</v>
      </c>
      <c r="L38" s="86">
        <v>0</v>
      </c>
      <c r="M38" s="87">
        <f t="shared" si="24"/>
        <v>0</v>
      </c>
      <c r="N38" s="93">
        <f t="shared" si="25"/>
        <v>0</v>
      </c>
      <c r="O38" s="86">
        <v>0</v>
      </c>
      <c r="P38" s="87">
        <f t="shared" si="26"/>
        <v>0</v>
      </c>
      <c r="Q38" s="86">
        <v>1</v>
      </c>
      <c r="R38" s="87">
        <f t="shared" si="27"/>
        <v>155491</v>
      </c>
      <c r="S38" s="93">
        <f t="shared" si="28"/>
        <v>155491</v>
      </c>
      <c r="T38" s="88">
        <v>0</v>
      </c>
      <c r="U38" s="89">
        <f t="shared" si="29"/>
        <v>0</v>
      </c>
      <c r="V38" s="88">
        <v>0</v>
      </c>
      <c r="W38" s="89">
        <f t="shared" si="34"/>
        <v>0</v>
      </c>
      <c r="X38" s="93">
        <f t="shared" si="30"/>
        <v>0</v>
      </c>
      <c r="Y38" s="88">
        <v>0</v>
      </c>
      <c r="Z38" s="89">
        <f t="shared" si="17"/>
        <v>0</v>
      </c>
      <c r="AA38" s="242">
        <f t="shared" si="31"/>
        <v>0</v>
      </c>
      <c r="AB38" s="81">
        <f t="shared" si="32"/>
        <v>0</v>
      </c>
      <c r="AC38" s="82">
        <f t="shared" si="33"/>
        <v>1</v>
      </c>
      <c r="AD38" s="159">
        <f t="shared" si="18"/>
        <v>155491</v>
      </c>
    </row>
    <row r="39" spans="1:30" x14ac:dyDescent="0.25">
      <c r="A39" s="46" t="s">
        <v>192</v>
      </c>
      <c r="B39" s="90">
        <f>25000+21990</f>
        <v>46990</v>
      </c>
      <c r="C39" s="91">
        <v>0.1</v>
      </c>
      <c r="D39" s="85">
        <f t="shared" si="19"/>
        <v>4699</v>
      </c>
      <c r="E39" s="122">
        <v>0</v>
      </c>
      <c r="F39" s="123">
        <f t="shared" si="20"/>
        <v>0</v>
      </c>
      <c r="G39" s="122">
        <v>0</v>
      </c>
      <c r="H39" s="123">
        <f t="shared" si="21"/>
        <v>0</v>
      </c>
      <c r="I39" s="122">
        <v>0</v>
      </c>
      <c r="J39" s="123">
        <f t="shared" si="22"/>
        <v>0</v>
      </c>
      <c r="K39" s="93">
        <f t="shared" si="23"/>
        <v>0</v>
      </c>
      <c r="L39" s="86">
        <v>0.01</v>
      </c>
      <c r="M39" s="87">
        <f t="shared" si="24"/>
        <v>469.90000000000003</v>
      </c>
      <c r="N39" s="93">
        <f t="shared" si="25"/>
        <v>469.90000000000003</v>
      </c>
      <c r="O39" s="86">
        <v>0.1</v>
      </c>
      <c r="P39" s="87">
        <f t="shared" si="26"/>
        <v>4699</v>
      </c>
      <c r="Q39" s="86">
        <v>0.1</v>
      </c>
      <c r="R39" s="87">
        <f t="shared" si="27"/>
        <v>4699</v>
      </c>
      <c r="S39" s="93">
        <f t="shared" si="28"/>
        <v>9398</v>
      </c>
      <c r="T39" s="88">
        <v>0.1</v>
      </c>
      <c r="U39" s="89">
        <f t="shared" si="29"/>
        <v>4699</v>
      </c>
      <c r="V39" s="88">
        <v>0.59</v>
      </c>
      <c r="W39" s="89">
        <f t="shared" si="34"/>
        <v>27724.1</v>
      </c>
      <c r="X39" s="93">
        <f t="shared" si="30"/>
        <v>32423.1</v>
      </c>
      <c r="Y39" s="88">
        <v>0</v>
      </c>
      <c r="Z39" s="89">
        <f t="shared" si="17"/>
        <v>0</v>
      </c>
      <c r="AA39" s="242">
        <f t="shared" si="31"/>
        <v>0</v>
      </c>
      <c r="AB39" s="81">
        <f t="shared" si="32"/>
        <v>0</v>
      </c>
      <c r="AC39" s="82">
        <f t="shared" si="33"/>
        <v>1</v>
      </c>
      <c r="AD39" s="159">
        <f t="shared" si="18"/>
        <v>9398</v>
      </c>
    </row>
    <row r="40" spans="1:30" x14ac:dyDescent="0.25">
      <c r="A40" s="46" t="s">
        <v>247</v>
      </c>
      <c r="B40" s="90">
        <f>225322+5500</f>
        <v>230822</v>
      </c>
      <c r="C40" s="91">
        <v>0.1</v>
      </c>
      <c r="D40" s="85">
        <f t="shared" si="19"/>
        <v>23082.2</v>
      </c>
      <c r="E40" s="122">
        <v>0</v>
      </c>
      <c r="F40" s="123">
        <f t="shared" si="20"/>
        <v>0</v>
      </c>
      <c r="G40" s="122">
        <v>0</v>
      </c>
      <c r="H40" s="123">
        <f t="shared" si="21"/>
        <v>0</v>
      </c>
      <c r="I40" s="122">
        <v>0</v>
      </c>
      <c r="J40" s="123">
        <f t="shared" si="22"/>
        <v>0</v>
      </c>
      <c r="K40" s="93">
        <f t="shared" si="23"/>
        <v>0</v>
      </c>
      <c r="L40" s="86">
        <v>0.01</v>
      </c>
      <c r="M40" s="87">
        <f t="shared" si="24"/>
        <v>2308.2200000000003</v>
      </c>
      <c r="N40" s="93">
        <f t="shared" si="25"/>
        <v>2308.2200000000003</v>
      </c>
      <c r="O40" s="86">
        <v>0.1</v>
      </c>
      <c r="P40" s="87">
        <f t="shared" si="26"/>
        <v>23082.2</v>
      </c>
      <c r="Q40" s="86">
        <v>0.1</v>
      </c>
      <c r="R40" s="87">
        <f t="shared" si="27"/>
        <v>23082.2</v>
      </c>
      <c r="S40" s="93">
        <f t="shared" si="28"/>
        <v>46164.4</v>
      </c>
      <c r="T40" s="88">
        <v>0.1</v>
      </c>
      <c r="U40" s="89">
        <f t="shared" si="29"/>
        <v>23082.2</v>
      </c>
      <c r="V40" s="88">
        <v>0.59</v>
      </c>
      <c r="W40" s="89">
        <f t="shared" si="34"/>
        <v>136184.97999999998</v>
      </c>
      <c r="X40" s="93">
        <f t="shared" si="30"/>
        <v>159267.18</v>
      </c>
      <c r="Y40" s="88">
        <v>0</v>
      </c>
      <c r="Z40" s="89">
        <f t="shared" si="17"/>
        <v>0</v>
      </c>
      <c r="AA40" s="242">
        <f t="shared" si="31"/>
        <v>0</v>
      </c>
      <c r="AB40" s="81">
        <f t="shared" si="32"/>
        <v>0</v>
      </c>
      <c r="AC40" s="82">
        <f t="shared" si="33"/>
        <v>1</v>
      </c>
      <c r="AD40" s="159">
        <f t="shared" si="18"/>
        <v>46164.4</v>
      </c>
    </row>
    <row r="41" spans="1:30" x14ac:dyDescent="0.25">
      <c r="A41" s="46" t="s">
        <v>48</v>
      </c>
      <c r="B41" s="90">
        <f>95000+62400+46000+42200</f>
        <v>245600</v>
      </c>
      <c r="C41" s="91">
        <v>0.1</v>
      </c>
      <c r="D41" s="85">
        <f t="shared" si="19"/>
        <v>24560</v>
      </c>
      <c r="E41" s="122">
        <v>0</v>
      </c>
      <c r="F41" s="123">
        <f t="shared" si="20"/>
        <v>0</v>
      </c>
      <c r="G41" s="122">
        <v>0</v>
      </c>
      <c r="H41" s="123">
        <f t="shared" si="21"/>
        <v>0</v>
      </c>
      <c r="I41" s="122">
        <v>0</v>
      </c>
      <c r="J41" s="123">
        <f t="shared" si="22"/>
        <v>0</v>
      </c>
      <c r="K41" s="93">
        <f t="shared" si="23"/>
        <v>0</v>
      </c>
      <c r="L41" s="86">
        <v>0.01</v>
      </c>
      <c r="M41" s="87">
        <f t="shared" si="24"/>
        <v>2456</v>
      </c>
      <c r="N41" s="93">
        <f t="shared" si="25"/>
        <v>2456</v>
      </c>
      <c r="O41" s="86">
        <v>0.1</v>
      </c>
      <c r="P41" s="87">
        <f t="shared" si="26"/>
        <v>24560</v>
      </c>
      <c r="Q41" s="86">
        <v>0.1</v>
      </c>
      <c r="R41" s="87">
        <f t="shared" si="27"/>
        <v>24560</v>
      </c>
      <c r="S41" s="93">
        <f t="shared" si="28"/>
        <v>49120</v>
      </c>
      <c r="T41" s="88">
        <v>0.1</v>
      </c>
      <c r="U41" s="89">
        <f t="shared" si="29"/>
        <v>24560</v>
      </c>
      <c r="V41" s="88">
        <v>0.59</v>
      </c>
      <c r="W41" s="89">
        <f t="shared" si="34"/>
        <v>144904</v>
      </c>
      <c r="X41" s="93">
        <f t="shared" si="30"/>
        <v>169464</v>
      </c>
      <c r="Y41" s="88">
        <v>0</v>
      </c>
      <c r="Z41" s="89">
        <f t="shared" si="17"/>
        <v>0</v>
      </c>
      <c r="AA41" s="242">
        <f t="shared" si="31"/>
        <v>0</v>
      </c>
      <c r="AB41" s="81">
        <f t="shared" si="32"/>
        <v>0</v>
      </c>
      <c r="AC41" s="82">
        <f t="shared" si="33"/>
        <v>1</v>
      </c>
      <c r="AD41" s="159">
        <f t="shared" si="18"/>
        <v>49120</v>
      </c>
    </row>
    <row r="42" spans="1:30" x14ac:dyDescent="0.25">
      <c r="A42" s="46" t="s">
        <v>49</v>
      </c>
      <c r="B42" s="90">
        <v>4202</v>
      </c>
      <c r="C42" s="91">
        <v>0.1</v>
      </c>
      <c r="D42" s="85">
        <f t="shared" si="19"/>
        <v>420.20000000000005</v>
      </c>
      <c r="E42" s="122">
        <v>0</v>
      </c>
      <c r="F42" s="123">
        <f t="shared" si="20"/>
        <v>0</v>
      </c>
      <c r="G42" s="122">
        <v>0</v>
      </c>
      <c r="H42" s="123">
        <f t="shared" si="21"/>
        <v>0</v>
      </c>
      <c r="I42" s="122">
        <v>0</v>
      </c>
      <c r="J42" s="123">
        <f t="shared" si="22"/>
        <v>0</v>
      </c>
      <c r="K42" s="93">
        <f t="shared" si="23"/>
        <v>0</v>
      </c>
      <c r="L42" s="86">
        <v>0.01</v>
      </c>
      <c r="M42" s="87">
        <f t="shared" si="24"/>
        <v>42.02</v>
      </c>
      <c r="N42" s="93">
        <f t="shared" si="25"/>
        <v>42.02</v>
      </c>
      <c r="O42" s="86">
        <v>0.1</v>
      </c>
      <c r="P42" s="87">
        <f t="shared" si="26"/>
        <v>420.20000000000005</v>
      </c>
      <c r="Q42" s="86">
        <v>0.2</v>
      </c>
      <c r="R42" s="87">
        <f t="shared" si="27"/>
        <v>840.40000000000009</v>
      </c>
      <c r="S42" s="93">
        <f t="shared" si="28"/>
        <v>1260.6000000000001</v>
      </c>
      <c r="T42" s="88">
        <v>0.1</v>
      </c>
      <c r="U42" s="89">
        <f t="shared" si="29"/>
        <v>420.20000000000005</v>
      </c>
      <c r="V42" s="88">
        <v>0.49</v>
      </c>
      <c r="W42" s="89">
        <f t="shared" si="34"/>
        <v>2058.98</v>
      </c>
      <c r="X42" s="93">
        <f t="shared" si="30"/>
        <v>2479.1800000000003</v>
      </c>
      <c r="Y42" s="88">
        <v>0</v>
      </c>
      <c r="Z42" s="89">
        <f t="shared" si="17"/>
        <v>0</v>
      </c>
      <c r="AA42" s="242">
        <f t="shared" si="31"/>
        <v>0</v>
      </c>
      <c r="AB42" s="81">
        <f t="shared" si="32"/>
        <v>0</v>
      </c>
      <c r="AC42" s="82">
        <f t="shared" si="33"/>
        <v>1</v>
      </c>
      <c r="AD42" s="159">
        <f t="shared" si="18"/>
        <v>1260.6000000000001</v>
      </c>
    </row>
    <row r="43" spans="1:30" x14ac:dyDescent="0.25">
      <c r="A43" s="46" t="s">
        <v>193</v>
      </c>
      <c r="B43" s="90">
        <v>404481</v>
      </c>
      <c r="C43" s="91">
        <v>0</v>
      </c>
      <c r="D43" s="85">
        <f t="shared" si="19"/>
        <v>0</v>
      </c>
      <c r="E43" s="122">
        <v>0</v>
      </c>
      <c r="F43" s="123">
        <f t="shared" si="20"/>
        <v>0</v>
      </c>
      <c r="G43" s="122">
        <v>0</v>
      </c>
      <c r="H43" s="123">
        <f t="shared" si="21"/>
        <v>0</v>
      </c>
      <c r="I43" s="122">
        <v>0</v>
      </c>
      <c r="J43" s="123">
        <f t="shared" si="22"/>
        <v>0</v>
      </c>
      <c r="K43" s="93">
        <f t="shared" si="23"/>
        <v>0</v>
      </c>
      <c r="L43" s="86">
        <v>0</v>
      </c>
      <c r="M43" s="87">
        <f t="shared" si="24"/>
        <v>0</v>
      </c>
      <c r="N43" s="93">
        <f t="shared" si="25"/>
        <v>0</v>
      </c>
      <c r="O43" s="86">
        <v>0</v>
      </c>
      <c r="P43" s="87">
        <f t="shared" si="26"/>
        <v>0</v>
      </c>
      <c r="Q43" s="86">
        <v>1</v>
      </c>
      <c r="R43" s="87">
        <f t="shared" si="27"/>
        <v>404481</v>
      </c>
      <c r="S43" s="93">
        <f t="shared" si="28"/>
        <v>404481</v>
      </c>
      <c r="T43" s="88">
        <v>0</v>
      </c>
      <c r="U43" s="89">
        <f t="shared" si="29"/>
        <v>0</v>
      </c>
      <c r="V43" s="88">
        <v>0</v>
      </c>
      <c r="W43" s="89">
        <f t="shared" si="34"/>
        <v>0</v>
      </c>
      <c r="X43" s="93">
        <f t="shared" si="30"/>
        <v>0</v>
      </c>
      <c r="Y43" s="88">
        <v>0</v>
      </c>
      <c r="Z43" s="89">
        <f t="shared" si="17"/>
        <v>0</v>
      </c>
      <c r="AA43" s="242">
        <f t="shared" si="31"/>
        <v>0</v>
      </c>
      <c r="AB43" s="81">
        <f t="shared" si="32"/>
        <v>0</v>
      </c>
      <c r="AC43" s="82">
        <f t="shared" si="33"/>
        <v>1</v>
      </c>
      <c r="AD43" s="159">
        <f t="shared" si="18"/>
        <v>404481</v>
      </c>
    </row>
    <row r="44" spans="1:30" x14ac:dyDescent="0.25">
      <c r="A44" s="46" t="s">
        <v>213</v>
      </c>
      <c r="B44" s="90">
        <v>3120000</v>
      </c>
      <c r="C44" s="91">
        <v>0</v>
      </c>
      <c r="D44" s="85">
        <f t="shared" si="19"/>
        <v>0</v>
      </c>
      <c r="E44" s="122">
        <v>0</v>
      </c>
      <c r="F44" s="123">
        <f t="shared" si="20"/>
        <v>0</v>
      </c>
      <c r="G44" s="122">
        <v>0</v>
      </c>
      <c r="H44" s="123">
        <f t="shared" si="21"/>
        <v>0</v>
      </c>
      <c r="I44" s="122">
        <v>0</v>
      </c>
      <c r="J44" s="123">
        <f t="shared" si="22"/>
        <v>0</v>
      </c>
      <c r="K44" s="93">
        <f t="shared" si="23"/>
        <v>0</v>
      </c>
      <c r="L44" s="86">
        <v>1</v>
      </c>
      <c r="M44" s="87">
        <f t="shared" si="24"/>
        <v>3120000</v>
      </c>
      <c r="N44" s="93">
        <f t="shared" si="25"/>
        <v>3120000</v>
      </c>
      <c r="O44" s="86">
        <v>0</v>
      </c>
      <c r="P44" s="87">
        <f t="shared" si="26"/>
        <v>0</v>
      </c>
      <c r="Q44" s="86">
        <v>0</v>
      </c>
      <c r="R44" s="87">
        <f t="shared" si="27"/>
        <v>0</v>
      </c>
      <c r="S44" s="93">
        <f t="shared" si="28"/>
        <v>0</v>
      </c>
      <c r="T44" s="88">
        <v>0</v>
      </c>
      <c r="U44" s="89">
        <f t="shared" si="29"/>
        <v>0</v>
      </c>
      <c r="V44" s="88">
        <v>0</v>
      </c>
      <c r="W44" s="89">
        <f t="shared" si="34"/>
        <v>0</v>
      </c>
      <c r="X44" s="93">
        <f t="shared" si="30"/>
        <v>0</v>
      </c>
      <c r="Y44" s="88">
        <v>0</v>
      </c>
      <c r="Z44" s="89">
        <f t="shared" si="17"/>
        <v>0</v>
      </c>
      <c r="AA44" s="242">
        <f t="shared" si="31"/>
        <v>0</v>
      </c>
      <c r="AB44" s="81">
        <f t="shared" si="32"/>
        <v>0</v>
      </c>
      <c r="AC44" s="82">
        <f t="shared" si="33"/>
        <v>1</v>
      </c>
      <c r="AD44" s="159">
        <f t="shared" si="18"/>
        <v>0</v>
      </c>
    </row>
    <row r="45" spans="1:30" x14ac:dyDescent="0.25">
      <c r="A45" s="46" t="s">
        <v>264</v>
      </c>
      <c r="B45" s="90">
        <f>1281600+10404000</f>
        <v>11685600</v>
      </c>
      <c r="C45" s="91">
        <v>0</v>
      </c>
      <c r="D45" s="85">
        <f t="shared" si="19"/>
        <v>0</v>
      </c>
      <c r="E45" s="122">
        <v>0</v>
      </c>
      <c r="F45" s="123">
        <f t="shared" si="20"/>
        <v>0</v>
      </c>
      <c r="G45" s="122">
        <v>0</v>
      </c>
      <c r="H45" s="123">
        <f t="shared" si="21"/>
        <v>0</v>
      </c>
      <c r="I45" s="122">
        <v>0</v>
      </c>
      <c r="J45" s="123">
        <f t="shared" si="22"/>
        <v>0</v>
      </c>
      <c r="K45" s="93">
        <f t="shared" si="23"/>
        <v>0</v>
      </c>
      <c r="L45" s="86">
        <v>1</v>
      </c>
      <c r="M45" s="87">
        <f t="shared" si="24"/>
        <v>11685600</v>
      </c>
      <c r="N45" s="93">
        <f t="shared" si="25"/>
        <v>11685600</v>
      </c>
      <c r="O45" s="86">
        <v>0</v>
      </c>
      <c r="P45" s="87">
        <f t="shared" si="26"/>
        <v>0</v>
      </c>
      <c r="Q45" s="86">
        <v>0</v>
      </c>
      <c r="R45" s="87">
        <f t="shared" si="27"/>
        <v>0</v>
      </c>
      <c r="S45" s="93">
        <f t="shared" si="28"/>
        <v>0</v>
      </c>
      <c r="T45" s="88">
        <v>0</v>
      </c>
      <c r="U45" s="89">
        <f t="shared" si="29"/>
        <v>0</v>
      </c>
      <c r="V45" s="88">
        <v>0</v>
      </c>
      <c r="W45" s="89">
        <f t="shared" si="34"/>
        <v>0</v>
      </c>
      <c r="X45" s="93">
        <f t="shared" si="30"/>
        <v>0</v>
      </c>
      <c r="Y45" s="88">
        <v>0</v>
      </c>
      <c r="Z45" s="89">
        <f t="shared" si="17"/>
        <v>0</v>
      </c>
      <c r="AA45" s="242">
        <f t="shared" si="31"/>
        <v>0</v>
      </c>
      <c r="AB45" s="81">
        <f t="shared" si="32"/>
        <v>0</v>
      </c>
      <c r="AC45" s="82">
        <f t="shared" si="33"/>
        <v>1</v>
      </c>
      <c r="AD45" s="159">
        <f t="shared" si="18"/>
        <v>0</v>
      </c>
    </row>
    <row r="46" spans="1:30" x14ac:dyDescent="0.25">
      <c r="A46" s="46" t="s">
        <v>278</v>
      </c>
      <c r="B46" s="90"/>
      <c r="C46" s="91">
        <v>0</v>
      </c>
      <c r="D46" s="85">
        <f t="shared" si="19"/>
        <v>0</v>
      </c>
      <c r="E46" s="122">
        <v>0</v>
      </c>
      <c r="F46" s="123">
        <f t="shared" si="20"/>
        <v>0</v>
      </c>
      <c r="G46" s="122">
        <v>0</v>
      </c>
      <c r="H46" s="123">
        <f t="shared" si="21"/>
        <v>0</v>
      </c>
      <c r="I46" s="122">
        <v>0</v>
      </c>
      <c r="J46" s="123">
        <f t="shared" si="22"/>
        <v>0</v>
      </c>
      <c r="K46" s="93">
        <f t="shared" si="23"/>
        <v>0</v>
      </c>
      <c r="L46" s="86">
        <v>0</v>
      </c>
      <c r="M46" s="87">
        <f t="shared" si="24"/>
        <v>0</v>
      </c>
      <c r="N46" s="93">
        <f t="shared" si="25"/>
        <v>0</v>
      </c>
      <c r="O46" s="86">
        <v>0</v>
      </c>
      <c r="P46" s="87">
        <f t="shared" si="26"/>
        <v>0</v>
      </c>
      <c r="Q46" s="86">
        <v>0</v>
      </c>
      <c r="R46" s="87">
        <f t="shared" si="27"/>
        <v>0</v>
      </c>
      <c r="S46" s="93">
        <f t="shared" si="28"/>
        <v>0</v>
      </c>
      <c r="T46" s="88">
        <v>0</v>
      </c>
      <c r="U46" s="89">
        <f t="shared" si="29"/>
        <v>0</v>
      </c>
      <c r="V46" s="88">
        <v>0</v>
      </c>
      <c r="W46" s="89">
        <f t="shared" si="34"/>
        <v>0</v>
      </c>
      <c r="X46" s="93">
        <f t="shared" si="30"/>
        <v>0</v>
      </c>
      <c r="Y46" s="88">
        <v>1</v>
      </c>
      <c r="Z46" s="89">
        <f t="shared" si="17"/>
        <v>0</v>
      </c>
      <c r="AA46" s="242">
        <f t="shared" si="31"/>
        <v>0</v>
      </c>
      <c r="AB46" s="81">
        <f t="shared" si="32"/>
        <v>0</v>
      </c>
      <c r="AC46" s="82">
        <f t="shared" si="33"/>
        <v>1</v>
      </c>
      <c r="AD46" s="159">
        <f t="shared" si="18"/>
        <v>0</v>
      </c>
    </row>
    <row r="47" spans="1:30" x14ac:dyDescent="0.25">
      <c r="A47" s="46" t="s">
        <v>279</v>
      </c>
      <c r="B47" s="90"/>
      <c r="C47" s="91">
        <v>0</v>
      </c>
      <c r="D47" s="85">
        <f t="shared" si="19"/>
        <v>0</v>
      </c>
      <c r="E47" s="122">
        <v>0</v>
      </c>
      <c r="F47" s="123">
        <f t="shared" si="20"/>
        <v>0</v>
      </c>
      <c r="G47" s="122">
        <v>0</v>
      </c>
      <c r="H47" s="123">
        <f t="shared" si="21"/>
        <v>0</v>
      </c>
      <c r="I47" s="122">
        <v>0</v>
      </c>
      <c r="J47" s="123">
        <f t="shared" si="22"/>
        <v>0</v>
      </c>
      <c r="K47" s="93">
        <f t="shared" si="23"/>
        <v>0</v>
      </c>
      <c r="L47" s="86">
        <v>0</v>
      </c>
      <c r="M47" s="87">
        <f t="shared" si="24"/>
        <v>0</v>
      </c>
      <c r="N47" s="93">
        <f t="shared" si="25"/>
        <v>0</v>
      </c>
      <c r="O47" s="86">
        <v>0</v>
      </c>
      <c r="P47" s="87">
        <f t="shared" si="26"/>
        <v>0</v>
      </c>
      <c r="Q47" s="86">
        <v>0</v>
      </c>
      <c r="R47" s="87">
        <f t="shared" si="27"/>
        <v>0</v>
      </c>
      <c r="S47" s="93">
        <f t="shared" si="28"/>
        <v>0</v>
      </c>
      <c r="T47" s="88">
        <v>0</v>
      </c>
      <c r="U47" s="89">
        <v>0</v>
      </c>
      <c r="V47" s="88">
        <v>0</v>
      </c>
      <c r="W47" s="89">
        <f t="shared" si="34"/>
        <v>0</v>
      </c>
      <c r="X47" s="93">
        <f t="shared" si="30"/>
        <v>0</v>
      </c>
      <c r="Y47" s="88">
        <v>1</v>
      </c>
      <c r="Z47" s="89">
        <f t="shared" si="17"/>
        <v>0</v>
      </c>
      <c r="AA47" s="242">
        <f t="shared" si="31"/>
        <v>0</v>
      </c>
      <c r="AB47" s="81">
        <f t="shared" si="32"/>
        <v>0</v>
      </c>
      <c r="AC47" s="82">
        <f t="shared" si="33"/>
        <v>1</v>
      </c>
      <c r="AD47" s="159">
        <f t="shared" si="18"/>
        <v>0</v>
      </c>
    </row>
    <row r="48" spans="1:30" x14ac:dyDescent="0.25">
      <c r="A48" s="46" t="s">
        <v>232</v>
      </c>
      <c r="B48" s="90">
        <v>400000</v>
      </c>
      <c r="C48" s="91">
        <v>0</v>
      </c>
      <c r="D48" s="85">
        <f t="shared" si="19"/>
        <v>0</v>
      </c>
      <c r="E48" s="122">
        <v>0</v>
      </c>
      <c r="F48" s="123">
        <f t="shared" si="20"/>
        <v>0</v>
      </c>
      <c r="G48" s="122">
        <v>0</v>
      </c>
      <c r="H48" s="123">
        <f t="shared" si="21"/>
        <v>0</v>
      </c>
      <c r="I48" s="122">
        <v>0</v>
      </c>
      <c r="J48" s="123">
        <f t="shared" si="22"/>
        <v>0</v>
      </c>
      <c r="K48" s="93">
        <f t="shared" si="23"/>
        <v>0</v>
      </c>
      <c r="L48" s="86">
        <v>0</v>
      </c>
      <c r="M48" s="87">
        <f t="shared" si="24"/>
        <v>0</v>
      </c>
      <c r="N48" s="93">
        <f t="shared" si="25"/>
        <v>0</v>
      </c>
      <c r="O48" s="86">
        <v>0</v>
      </c>
      <c r="P48" s="87">
        <f t="shared" si="26"/>
        <v>0</v>
      </c>
      <c r="Q48" s="86">
        <v>0</v>
      </c>
      <c r="R48" s="87">
        <f t="shared" si="27"/>
        <v>0</v>
      </c>
      <c r="S48" s="93">
        <f t="shared" si="28"/>
        <v>0</v>
      </c>
      <c r="T48" s="88">
        <v>0</v>
      </c>
      <c r="U48" s="89">
        <f t="shared" si="29"/>
        <v>0</v>
      </c>
      <c r="V48" s="88">
        <v>0.5</v>
      </c>
      <c r="W48" s="89">
        <f t="shared" si="34"/>
        <v>200000</v>
      </c>
      <c r="X48" s="93">
        <f t="shared" si="30"/>
        <v>200000</v>
      </c>
      <c r="Y48" s="88">
        <v>0.5</v>
      </c>
      <c r="Z48" s="89">
        <f t="shared" si="17"/>
        <v>200000</v>
      </c>
      <c r="AA48" s="242">
        <f t="shared" si="31"/>
        <v>200000</v>
      </c>
      <c r="AB48" s="81">
        <f t="shared" si="32"/>
        <v>0</v>
      </c>
      <c r="AC48" s="82">
        <f t="shared" si="33"/>
        <v>1</v>
      </c>
      <c r="AD48" s="159">
        <f t="shared" si="18"/>
        <v>200000</v>
      </c>
    </row>
    <row r="49" spans="1:30" x14ac:dyDescent="0.25">
      <c r="A49" s="46" t="s">
        <v>70</v>
      </c>
      <c r="B49" s="90"/>
      <c r="C49" s="91">
        <v>0.1</v>
      </c>
      <c r="D49" s="85">
        <f t="shared" si="19"/>
        <v>0</v>
      </c>
      <c r="E49" s="122">
        <v>0</v>
      </c>
      <c r="F49" s="123">
        <f t="shared" si="20"/>
        <v>0</v>
      </c>
      <c r="G49" s="122">
        <v>0</v>
      </c>
      <c r="H49" s="123">
        <f t="shared" si="21"/>
        <v>0</v>
      </c>
      <c r="I49" s="122">
        <v>0</v>
      </c>
      <c r="J49" s="123">
        <f t="shared" si="22"/>
        <v>0</v>
      </c>
      <c r="K49" s="93">
        <f t="shared" si="23"/>
        <v>0</v>
      </c>
      <c r="L49" s="86">
        <v>0.01</v>
      </c>
      <c r="M49" s="87">
        <f t="shared" si="24"/>
        <v>0</v>
      </c>
      <c r="N49" s="93">
        <f t="shared" si="25"/>
        <v>0</v>
      </c>
      <c r="O49" s="86">
        <v>0.1</v>
      </c>
      <c r="P49" s="87">
        <f t="shared" si="26"/>
        <v>0</v>
      </c>
      <c r="Q49" s="86">
        <v>0.2</v>
      </c>
      <c r="R49" s="87">
        <f t="shared" si="27"/>
        <v>0</v>
      </c>
      <c r="S49" s="93">
        <f t="shared" si="28"/>
        <v>0</v>
      </c>
      <c r="T49" s="88">
        <v>0.1</v>
      </c>
      <c r="U49" s="89">
        <f t="shared" si="29"/>
        <v>0</v>
      </c>
      <c r="V49" s="88">
        <v>0.49</v>
      </c>
      <c r="W49" s="89">
        <f t="shared" si="34"/>
        <v>0</v>
      </c>
      <c r="X49" s="93">
        <f t="shared" si="30"/>
        <v>0</v>
      </c>
      <c r="Y49" s="88">
        <v>0</v>
      </c>
      <c r="Z49" s="89">
        <f t="shared" si="17"/>
        <v>0</v>
      </c>
      <c r="AA49" s="242">
        <f t="shared" si="31"/>
        <v>0</v>
      </c>
      <c r="AB49" s="81">
        <f t="shared" si="32"/>
        <v>0</v>
      </c>
      <c r="AC49" s="82">
        <f t="shared" si="33"/>
        <v>1</v>
      </c>
      <c r="AD49" s="159">
        <f t="shared" si="18"/>
        <v>0</v>
      </c>
    </row>
    <row r="50" spans="1:30" x14ac:dyDescent="0.25">
      <c r="A50" s="46" t="s">
        <v>181</v>
      </c>
      <c r="B50" s="92">
        <f>SUM(B16:B49)</f>
        <v>23448502</v>
      </c>
      <c r="C50" s="44"/>
      <c r="D50" s="93">
        <f>SUM(D16:D49)</f>
        <v>615190.49999999988</v>
      </c>
      <c r="E50" s="124"/>
      <c r="F50" s="125">
        <f>SUM(F16:F49)</f>
        <v>695290.6</v>
      </c>
      <c r="G50" s="124"/>
      <c r="H50" s="125">
        <f>SUM(H16:H49)</f>
        <v>734547.79999999993</v>
      </c>
      <c r="I50" s="124"/>
      <c r="J50" s="125">
        <f>SUM(J16:J49)</f>
        <v>26661.84</v>
      </c>
      <c r="K50" s="93">
        <f>+J50+H50+F50</f>
        <v>1456500.2399999998</v>
      </c>
      <c r="L50" s="44"/>
      <c r="M50" s="95">
        <f>SUM(M16:M49)</f>
        <v>14845584.550000001</v>
      </c>
      <c r="N50" s="93">
        <f t="shared" si="25"/>
        <v>14845584.550000001</v>
      </c>
      <c r="O50" s="44"/>
      <c r="P50" s="95">
        <f>SUM(P16:P49)</f>
        <v>481342.45</v>
      </c>
      <c r="Q50" s="44"/>
      <c r="R50" s="95">
        <f>SUM(R16:R49)</f>
        <v>1089642.1000000001</v>
      </c>
      <c r="S50" s="93">
        <f t="shared" si="28"/>
        <v>1570984.55</v>
      </c>
      <c r="T50" s="44"/>
      <c r="U50" s="94">
        <f>SUM(U16:U49)</f>
        <v>706973.85999999987</v>
      </c>
      <c r="V50" s="44"/>
      <c r="W50" s="94">
        <f>SUM(W16:W49)</f>
        <v>3150335.38</v>
      </c>
      <c r="X50" s="93">
        <f t="shared" si="30"/>
        <v>3857309.2399999998</v>
      </c>
      <c r="Y50" s="79"/>
      <c r="Z50" s="94">
        <f>SUM(Z16:Z49)</f>
        <v>1102932.92</v>
      </c>
      <c r="AA50" s="242">
        <f t="shared" si="31"/>
        <v>1102932.92</v>
      </c>
      <c r="AB50" s="81">
        <f t="shared" si="32"/>
        <v>0</v>
      </c>
      <c r="AC50" s="82">
        <f t="shared" si="33"/>
        <v>0</v>
      </c>
      <c r="AD50" s="159">
        <f>SUM(AD16:AD49)</f>
        <v>4130417.7099999995</v>
      </c>
    </row>
    <row r="53" spans="1:30" ht="30" x14ac:dyDescent="0.25">
      <c r="A53" s="71" t="s">
        <v>199</v>
      </c>
      <c r="B53" s="84" t="s">
        <v>180</v>
      </c>
      <c r="C53" s="74" t="s">
        <v>159</v>
      </c>
      <c r="D53" s="71" t="s">
        <v>176</v>
      </c>
      <c r="E53" s="106" t="s">
        <v>200</v>
      </c>
      <c r="F53" s="108" t="s">
        <v>176</v>
      </c>
      <c r="G53" s="80" t="s">
        <v>201</v>
      </c>
      <c r="H53" s="80" t="s">
        <v>202</v>
      </c>
      <c r="I53" s="99"/>
      <c r="J53" s="99"/>
      <c r="K53" s="99"/>
      <c r="L53" s="99"/>
      <c r="M53" s="99"/>
      <c r="N53" s="99"/>
      <c r="O53" s="99"/>
      <c r="P53" s="99"/>
      <c r="Q53" s="100"/>
      <c r="R53" s="100"/>
      <c r="S53" s="100"/>
      <c r="T53" s="99"/>
      <c r="U53" s="99"/>
      <c r="V53" s="100"/>
      <c r="W53" s="100"/>
      <c r="X53" s="100"/>
      <c r="Y53" s="100"/>
      <c r="Z53" s="100"/>
      <c r="AA53" s="100"/>
      <c r="AB53" s="101"/>
      <c r="AC53" s="101"/>
    </row>
    <row r="54" spans="1:30" x14ac:dyDescent="0.25">
      <c r="A54" s="46" t="s">
        <v>204</v>
      </c>
      <c r="B54" s="90">
        <v>7422844</v>
      </c>
      <c r="C54" s="91">
        <v>0.5</v>
      </c>
      <c r="D54" s="85">
        <f>+B54*C54</f>
        <v>3711422</v>
      </c>
      <c r="E54" s="107">
        <v>0.5</v>
      </c>
      <c r="F54" s="109">
        <f>+E54*B54</f>
        <v>3711422</v>
      </c>
      <c r="G54" s="110">
        <f>+C54+E54</f>
        <v>1</v>
      </c>
      <c r="H54" s="109">
        <f>+(F54+D54)-B54</f>
        <v>0</v>
      </c>
      <c r="I54" s="103"/>
      <c r="J54" s="102"/>
      <c r="K54" s="102"/>
      <c r="L54" s="103"/>
      <c r="M54" s="102"/>
      <c r="N54" s="102"/>
      <c r="O54" s="103"/>
      <c r="P54" s="102"/>
      <c r="Q54" s="103"/>
      <c r="R54" s="102"/>
      <c r="S54" s="102"/>
      <c r="T54" s="103"/>
      <c r="U54" s="102"/>
      <c r="V54" s="103"/>
      <c r="W54" s="102"/>
      <c r="X54" s="102"/>
      <c r="Y54" s="103"/>
      <c r="Z54" s="102"/>
      <c r="AA54" s="104"/>
      <c r="AB54" s="104"/>
      <c r="AC54" s="105"/>
    </row>
    <row r="55" spans="1:30" x14ac:dyDescent="0.25">
      <c r="A55" s="46" t="s">
        <v>205</v>
      </c>
      <c r="B55" s="90"/>
      <c r="C55" s="91">
        <v>0.5</v>
      </c>
      <c r="D55" s="85">
        <f t="shared" ref="D55:D61" si="35">+B55*C55</f>
        <v>0</v>
      </c>
      <c r="E55" s="107">
        <v>0.5</v>
      </c>
      <c r="F55" s="109">
        <f t="shared" ref="F55:F61" si="36">+E55*B55</f>
        <v>0</v>
      </c>
      <c r="G55" s="110">
        <f t="shared" ref="G55:G62" si="37">+C55+E55</f>
        <v>1</v>
      </c>
      <c r="H55" s="109">
        <f t="shared" ref="H55:H62" si="38">+(F55+D55)-B55</f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30" x14ac:dyDescent="0.25">
      <c r="A56" s="46" t="s">
        <v>206</v>
      </c>
      <c r="B56" s="90">
        <v>4176000</v>
      </c>
      <c r="C56" s="91">
        <v>0.5</v>
      </c>
      <c r="D56" s="85">
        <f t="shared" si="35"/>
        <v>2088000</v>
      </c>
      <c r="E56" s="107">
        <v>0.5</v>
      </c>
      <c r="F56" s="109">
        <f t="shared" si="36"/>
        <v>2088000</v>
      </c>
      <c r="G56" s="110">
        <f t="shared" si="37"/>
        <v>1</v>
      </c>
      <c r="H56" s="109">
        <f t="shared" si="38"/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30" x14ac:dyDescent="0.25">
      <c r="A57" s="46" t="s">
        <v>209</v>
      </c>
      <c r="B57" s="90">
        <v>2900000</v>
      </c>
      <c r="C57" s="91">
        <v>0.5</v>
      </c>
      <c r="D57" s="85">
        <f t="shared" si="35"/>
        <v>1450000</v>
      </c>
      <c r="E57" s="107">
        <v>0.5</v>
      </c>
      <c r="F57" s="109">
        <f t="shared" si="36"/>
        <v>1450000</v>
      </c>
      <c r="G57" s="110">
        <f t="shared" si="37"/>
        <v>1</v>
      </c>
      <c r="H57" s="109">
        <f t="shared" si="38"/>
        <v>0</v>
      </c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30" x14ac:dyDescent="0.25">
      <c r="A58" s="46" t="s">
        <v>210</v>
      </c>
      <c r="B58" s="90">
        <v>570000</v>
      </c>
      <c r="C58" s="91">
        <v>0.5</v>
      </c>
      <c r="D58" s="85">
        <f t="shared" si="35"/>
        <v>285000</v>
      </c>
      <c r="E58" s="107">
        <v>0.5</v>
      </c>
      <c r="F58" s="109">
        <f t="shared" si="36"/>
        <v>285000</v>
      </c>
      <c r="G58" s="110">
        <f t="shared" si="37"/>
        <v>1</v>
      </c>
      <c r="H58" s="109">
        <f t="shared" si="38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30" x14ac:dyDescent="0.25">
      <c r="A59" s="46" t="s">
        <v>207</v>
      </c>
      <c r="B59" s="90">
        <v>330000</v>
      </c>
      <c r="C59" s="91">
        <v>0.5</v>
      </c>
      <c r="D59" s="85">
        <f t="shared" si="35"/>
        <v>165000</v>
      </c>
      <c r="E59" s="107">
        <v>0.5</v>
      </c>
      <c r="F59" s="109">
        <f t="shared" si="36"/>
        <v>165000</v>
      </c>
      <c r="G59" s="110">
        <f t="shared" si="37"/>
        <v>1</v>
      </c>
      <c r="H59" s="109">
        <f t="shared" si="38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0" spans="1:30" x14ac:dyDescent="0.25">
      <c r="A60" s="46" t="s">
        <v>208</v>
      </c>
      <c r="B60" s="90"/>
      <c r="C60" s="91">
        <v>0.5</v>
      </c>
      <c r="D60" s="85">
        <f t="shared" si="35"/>
        <v>0</v>
      </c>
      <c r="E60" s="107">
        <v>0.5</v>
      </c>
      <c r="F60" s="109">
        <f t="shared" si="36"/>
        <v>0</v>
      </c>
      <c r="G60" s="110">
        <f t="shared" si="37"/>
        <v>1</v>
      </c>
      <c r="H60" s="109">
        <f t="shared" si="38"/>
        <v>0</v>
      </c>
      <c r="I60" s="103"/>
      <c r="J60" s="102"/>
      <c r="K60" s="102"/>
      <c r="L60" s="103"/>
      <c r="M60" s="102"/>
      <c r="N60" s="102"/>
      <c r="O60" s="103"/>
      <c r="P60" s="102"/>
      <c r="Q60" s="103"/>
      <c r="R60" s="102"/>
      <c r="S60" s="102"/>
      <c r="T60" s="103"/>
      <c r="U60" s="102"/>
      <c r="V60" s="103"/>
      <c r="W60" s="102"/>
      <c r="X60" s="102"/>
      <c r="Y60" s="103"/>
      <c r="Z60" s="102"/>
      <c r="AA60" s="104"/>
      <c r="AB60" s="104"/>
      <c r="AC60" s="105"/>
    </row>
    <row r="61" spans="1:30" x14ac:dyDescent="0.25">
      <c r="A61" s="46" t="s">
        <v>70</v>
      </c>
      <c r="B61" s="90"/>
      <c r="C61" s="91">
        <v>0.5</v>
      </c>
      <c r="D61" s="85">
        <f t="shared" si="35"/>
        <v>0</v>
      </c>
      <c r="E61" s="107">
        <v>0.5</v>
      </c>
      <c r="F61" s="109">
        <f t="shared" si="36"/>
        <v>0</v>
      </c>
      <c r="G61" s="110">
        <f t="shared" si="37"/>
        <v>1</v>
      </c>
      <c r="H61" s="109">
        <f t="shared" si="38"/>
        <v>0</v>
      </c>
      <c r="I61" s="103"/>
      <c r="J61" s="102"/>
      <c r="K61" s="102"/>
      <c r="L61" s="103"/>
      <c r="M61" s="102"/>
      <c r="N61" s="102"/>
      <c r="O61" s="103"/>
      <c r="P61" s="102"/>
      <c r="Q61" s="103"/>
      <c r="R61" s="102"/>
      <c r="S61" s="102"/>
      <c r="T61" s="103"/>
      <c r="U61" s="102"/>
      <c r="V61" s="103"/>
      <c r="W61" s="102"/>
      <c r="X61" s="102"/>
      <c r="Y61" s="103"/>
      <c r="Z61" s="102"/>
      <c r="AA61" s="104"/>
      <c r="AB61" s="104"/>
      <c r="AC61" s="105"/>
    </row>
    <row r="62" spans="1:30" x14ac:dyDescent="0.25">
      <c r="A62" s="115" t="s">
        <v>203</v>
      </c>
      <c r="B62" s="111">
        <f>SUM(B54:B61)</f>
        <v>15398844</v>
      </c>
      <c r="C62" s="91"/>
      <c r="D62" s="93">
        <f>SUM(D54:D61)</f>
        <v>7699422</v>
      </c>
      <c r="E62" s="107"/>
      <c r="F62" s="112">
        <f>SUM(F54:F61)</f>
        <v>7699422</v>
      </c>
      <c r="G62" s="110">
        <f t="shared" si="37"/>
        <v>0</v>
      </c>
      <c r="H62" s="109">
        <f t="shared" si="38"/>
        <v>0</v>
      </c>
      <c r="I62" s="103"/>
      <c r="J62" s="102"/>
      <c r="K62" s="102"/>
      <c r="L62" s="103"/>
      <c r="M62" s="102"/>
      <c r="N62" s="102"/>
      <c r="O62" s="103"/>
      <c r="P62" s="102"/>
      <c r="Q62" s="103"/>
      <c r="R62" s="102"/>
      <c r="S62" s="102"/>
      <c r="T62" s="103"/>
      <c r="U62" s="102"/>
      <c r="V62" s="103"/>
      <c r="W62" s="102"/>
      <c r="X62" s="102"/>
      <c r="Y62" s="103"/>
      <c r="Z62" s="102"/>
      <c r="AA62" s="104"/>
      <c r="AB62" s="104"/>
      <c r="AC62" s="105"/>
    </row>
    <row r="64" spans="1:30" x14ac:dyDescent="0.25">
      <c r="A64" s="116" t="s">
        <v>211</v>
      </c>
      <c r="B64" s="117">
        <f>+B12+B50+B62</f>
        <v>66218486.272</v>
      </c>
    </row>
    <row r="66" spans="1:2" x14ac:dyDescent="0.25">
      <c r="A66" s="51" t="s">
        <v>10</v>
      </c>
      <c r="B66" s="52">
        <f>+D12+D50</f>
        <v>7026596.2508000005</v>
      </c>
    </row>
    <row r="67" spans="1:2" x14ac:dyDescent="0.25">
      <c r="A67" s="51" t="s">
        <v>228</v>
      </c>
      <c r="B67" s="52">
        <f>+B62+K12+K50</f>
        <v>30132012.184799999</v>
      </c>
    </row>
    <row r="68" spans="1:2" x14ac:dyDescent="0.25">
      <c r="A68" s="51" t="s">
        <v>227</v>
      </c>
      <c r="B68" s="52">
        <f>+S12+S50</f>
        <v>2966748.5797600001</v>
      </c>
    </row>
    <row r="69" spans="1:2" x14ac:dyDescent="0.25">
      <c r="A69" s="51" t="s">
        <v>212</v>
      </c>
      <c r="B69" s="52">
        <f>+AA12+AA50</f>
        <v>2923901.6488000001</v>
      </c>
    </row>
    <row r="70" spans="1:2" x14ac:dyDescent="0.25">
      <c r="A70" s="116" t="s">
        <v>211</v>
      </c>
      <c r="B70" s="117">
        <f>SUM(B66:B69)</f>
        <v>43049258.664159998</v>
      </c>
    </row>
    <row r="71" spans="1:2" x14ac:dyDescent="0.25">
      <c r="A71" s="113" t="s">
        <v>196</v>
      </c>
      <c r="B71" s="114">
        <f>+B64-B70</f>
        <v>23169227.607840002</v>
      </c>
    </row>
  </sheetData>
  <mergeCells count="12">
    <mergeCell ref="AB2:AC2"/>
    <mergeCell ref="E3:F3"/>
    <mergeCell ref="G3:H3"/>
    <mergeCell ref="I3:J3"/>
    <mergeCell ref="L3:M3"/>
    <mergeCell ref="O3:P3"/>
    <mergeCell ref="A1:W1"/>
    <mergeCell ref="A2:B2"/>
    <mergeCell ref="C2:D2"/>
    <mergeCell ref="E2:K2"/>
    <mergeCell ref="L2:S2"/>
    <mergeCell ref="T2:AA2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06965-A372-4B5C-BC22-03BE7909817D}">
  <dimension ref="A1:AE71"/>
  <sheetViews>
    <sheetView topLeftCell="A20" workbookViewId="0">
      <selection activeCell="B68" sqref="B68"/>
    </sheetView>
  </sheetViews>
  <sheetFormatPr baseColWidth="10" defaultRowHeight="15" x14ac:dyDescent="0.25"/>
  <cols>
    <col min="1" max="1" width="40.42578125" customWidth="1"/>
    <col min="2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4" width="14.710937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2" max="22" width="13.7109375" customWidth="1"/>
    <col min="24" max="24" width="15.42578125" customWidth="1"/>
    <col min="25" max="25" width="12.85546875" customWidth="1"/>
    <col min="26" max="26" width="12.28515625" customWidth="1"/>
    <col min="27" max="27" width="15.140625" customWidth="1"/>
  </cols>
  <sheetData>
    <row r="1" spans="1:31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1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1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33" t="s">
        <v>96</v>
      </c>
      <c r="P3" s="334"/>
      <c r="Q3" s="72" t="s">
        <v>97</v>
      </c>
      <c r="R3" s="72"/>
      <c r="S3" s="69" t="s">
        <v>298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226</v>
      </c>
      <c r="AB3" s="97"/>
      <c r="AC3" s="97"/>
    </row>
    <row r="4" spans="1:31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302</v>
      </c>
      <c r="O4" s="75" t="s">
        <v>162</v>
      </c>
      <c r="P4" s="75" t="s">
        <v>176</v>
      </c>
      <c r="Q4" s="76" t="s">
        <v>163</v>
      </c>
      <c r="R4" s="76" t="s">
        <v>176</v>
      </c>
      <c r="S4" s="71" t="s">
        <v>171</v>
      </c>
      <c r="T4" s="77" t="s">
        <v>164</v>
      </c>
      <c r="U4" s="77" t="s">
        <v>176</v>
      </c>
      <c r="V4" s="78" t="s">
        <v>165</v>
      </c>
      <c r="W4" s="78" t="s">
        <v>176</v>
      </c>
      <c r="X4" s="71" t="s">
        <v>303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1" x14ac:dyDescent="0.25">
      <c r="A5" s="46" t="s">
        <v>67</v>
      </c>
      <c r="B5" s="90">
        <f>+' NOMINAS ENE-DIC'!I131+' NOMINAS ENE-DIC'!I141</f>
        <v>5023871.568</v>
      </c>
      <c r="C5" s="91">
        <f>+'%'!B4</f>
        <v>0.35</v>
      </c>
      <c r="D5" s="93">
        <f t="shared" ref="D5:D11" si="0">+B5*C5</f>
        <v>1758355.0488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50238.715680000001</v>
      </c>
      <c r="N5" s="93">
        <f>+M5</f>
        <v>50238.715680000001</v>
      </c>
      <c r="O5" s="86">
        <f>+'%'!G4</f>
        <v>0.02</v>
      </c>
      <c r="P5" s="87">
        <f t="shared" ref="P5:P11" si="6">+O5*B5</f>
        <v>100477.43136</v>
      </c>
      <c r="Q5" s="86">
        <f>+'%'!H4</f>
        <v>0.05</v>
      </c>
      <c r="R5" s="87">
        <f t="shared" ref="R5:R11" si="7">+Q5*B5</f>
        <v>251193.5784</v>
      </c>
      <c r="S5" s="93">
        <f>+P5+R5</f>
        <v>351671.00975999999</v>
      </c>
      <c r="T5" s="88">
        <f>+'%'!I4</f>
        <v>0.2</v>
      </c>
      <c r="U5" s="89">
        <f t="shared" ref="U5:U11" si="8">+T5*B5</f>
        <v>1004774.3136</v>
      </c>
      <c r="V5" s="88">
        <f>+'%'!J4</f>
        <v>0.27</v>
      </c>
      <c r="W5" s="89">
        <f t="shared" ref="W5:W11" si="9">+V5*B5</f>
        <v>1356445.32336</v>
      </c>
      <c r="X5" s="93">
        <f>+U5+W5</f>
        <v>2361219.6369599998</v>
      </c>
      <c r="Y5" s="88">
        <f>+'%'!K4</f>
        <v>0.1</v>
      </c>
      <c r="Z5" s="89">
        <f t="shared" ref="Z5:Z11" si="10">+Y5*B5</f>
        <v>502387.1568</v>
      </c>
      <c r="AA5" s="93">
        <f>+Z5</f>
        <v>502387.1568</v>
      </c>
      <c r="AB5" s="81">
        <f>+(D5+K5+N5+S5+X5+AA5)-B5</f>
        <v>0</v>
      </c>
      <c r="AC5" s="82">
        <f t="shared" ref="AC5:AC12" si="11">+C5+E5+G5+I5+L5+O5+Q5+T5+V5+Y5</f>
        <v>1</v>
      </c>
      <c r="AE5" s="162"/>
    </row>
    <row r="6" spans="1:31" x14ac:dyDescent="0.25">
      <c r="A6" s="46" t="s">
        <v>74</v>
      </c>
      <c r="B6" s="90">
        <f>+' NOMINAS ENE-DIC'!I133+' NOMINAS ENE-DIC'!I143</f>
        <v>3539856.912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1415942.7648</v>
      </c>
      <c r="G6" s="122">
        <f>+'%'!D5</f>
        <v>0.6</v>
      </c>
      <c r="H6" s="123">
        <f t="shared" si="2"/>
        <v>2123914.1472</v>
      </c>
      <c r="I6" s="122">
        <f>+'%'!E5</f>
        <v>0</v>
      </c>
      <c r="J6" s="123">
        <f t="shared" si="3"/>
        <v>0</v>
      </c>
      <c r="K6" s="93">
        <f t="shared" si="4"/>
        <v>3539856.912</v>
      </c>
      <c r="L6" s="86">
        <f>+'%'!F5</f>
        <v>0</v>
      </c>
      <c r="M6" s="87">
        <f t="shared" si="5"/>
        <v>0</v>
      </c>
      <c r="N6" s="93">
        <f t="shared" ref="N6:N12" si="12">+M6</f>
        <v>0</v>
      </c>
      <c r="O6" s="86">
        <f>+'%'!G5</f>
        <v>0</v>
      </c>
      <c r="P6" s="87">
        <f t="shared" si="6"/>
        <v>0</v>
      </c>
      <c r="Q6" s="86">
        <f>+'%'!H5</f>
        <v>0</v>
      </c>
      <c r="R6" s="87">
        <f t="shared" si="7"/>
        <v>0</v>
      </c>
      <c r="S6" s="93">
        <f t="shared" ref="S6:S12" si="13">+P6+R6</f>
        <v>0</v>
      </c>
      <c r="T6" s="88">
        <f>+'%'!I5</f>
        <v>0</v>
      </c>
      <c r="U6" s="89">
        <f t="shared" si="8"/>
        <v>0</v>
      </c>
      <c r="V6" s="88">
        <f>+'%'!J5</f>
        <v>0</v>
      </c>
      <c r="W6" s="89">
        <f t="shared" si="9"/>
        <v>0</v>
      </c>
      <c r="X6" s="93">
        <f t="shared" ref="X6:X12" si="14">+U6+W6</f>
        <v>0</v>
      </c>
      <c r="Y6" s="88">
        <f>+'%'!K5</f>
        <v>0</v>
      </c>
      <c r="Z6" s="89">
        <f t="shared" si="10"/>
        <v>0</v>
      </c>
      <c r="AA6" s="93">
        <f t="shared" ref="AA6:AA12" si="15">+Z6</f>
        <v>0</v>
      </c>
      <c r="AB6" s="81">
        <f t="shared" ref="AB6:AB12" si="16">+(D6+K6+N6+S6+X6+AA6)-B6</f>
        <v>0</v>
      </c>
      <c r="AC6" s="82">
        <f t="shared" si="11"/>
        <v>1</v>
      </c>
      <c r="AE6" s="162"/>
    </row>
    <row r="7" spans="1:31" x14ac:dyDescent="0.25">
      <c r="A7" s="46" t="s">
        <v>109</v>
      </c>
      <c r="B7" s="90">
        <f>+' NOMINAS ENE-DIC'!I130+' NOMINAS ENE-DIC'!I140</f>
        <v>3539856.912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884964.228</v>
      </c>
      <c r="G7" s="122">
        <f>+'%'!D7</f>
        <v>0.45</v>
      </c>
      <c r="H7" s="123">
        <f t="shared" si="2"/>
        <v>1592935.6104000001</v>
      </c>
      <c r="I7" s="122">
        <f>+'%'!E7</f>
        <v>0.2</v>
      </c>
      <c r="J7" s="123">
        <f t="shared" si="3"/>
        <v>707971.3824</v>
      </c>
      <c r="K7" s="93">
        <f t="shared" si="4"/>
        <v>3185871.2208000002</v>
      </c>
      <c r="L7" s="86">
        <f>+'%'!F7</f>
        <v>0</v>
      </c>
      <c r="M7" s="87">
        <f t="shared" si="5"/>
        <v>0</v>
      </c>
      <c r="N7" s="93">
        <f t="shared" si="12"/>
        <v>0</v>
      </c>
      <c r="O7" s="86">
        <f>+'%'!G7</f>
        <v>0</v>
      </c>
      <c r="P7" s="87">
        <f t="shared" si="6"/>
        <v>0</v>
      </c>
      <c r="Q7" s="86">
        <f>+'%'!H7</f>
        <v>0.05</v>
      </c>
      <c r="R7" s="87">
        <f t="shared" si="7"/>
        <v>176992.8456</v>
      </c>
      <c r="S7" s="93">
        <f t="shared" si="13"/>
        <v>176992.8456</v>
      </c>
      <c r="T7" s="88">
        <f>+'%'!I7</f>
        <v>0</v>
      </c>
      <c r="U7" s="89">
        <v>0</v>
      </c>
      <c r="V7" s="88">
        <f>+'%'!J7</f>
        <v>0.05</v>
      </c>
      <c r="W7" s="89">
        <f t="shared" si="9"/>
        <v>176992.8456</v>
      </c>
      <c r="X7" s="93">
        <f t="shared" si="14"/>
        <v>176992.8456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  <c r="AE7" s="162"/>
    </row>
    <row r="8" spans="1:31" x14ac:dyDescent="0.25">
      <c r="A8" s="46" t="s">
        <v>266</v>
      </c>
      <c r="B8" s="90">
        <f>+' NOMINAS ENE-DIC'!I132+' NOMINAS ENE-DIC'!I142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86">
        <v>0</v>
      </c>
      <c r="P8" s="87">
        <f t="shared" si="6"/>
        <v>0</v>
      </c>
      <c r="Q8" s="86">
        <v>0</v>
      </c>
      <c r="R8" s="87">
        <f t="shared" si="7"/>
        <v>0</v>
      </c>
      <c r="S8" s="93">
        <f t="shared" si="13"/>
        <v>0</v>
      </c>
      <c r="T8" s="88">
        <v>0</v>
      </c>
      <c r="U8" s="89">
        <v>0</v>
      </c>
      <c r="V8" s="88">
        <v>0</v>
      </c>
      <c r="W8" s="8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1" x14ac:dyDescent="0.25">
      <c r="A9" s="46" t="s">
        <v>184</v>
      </c>
      <c r="B9" s="90">
        <f>+' NOMINAS ENE-DIC'!B149</f>
        <v>4664000</v>
      </c>
      <c r="C9" s="91">
        <f>+'%'!B8</f>
        <v>0.2</v>
      </c>
      <c r="D9" s="93">
        <f t="shared" si="0"/>
        <v>932800</v>
      </c>
      <c r="E9" s="122">
        <f>+'%'!C8</f>
        <v>0.1</v>
      </c>
      <c r="F9" s="123">
        <f t="shared" si="1"/>
        <v>466400</v>
      </c>
      <c r="G9" s="122">
        <f>+'%'!D8</f>
        <v>0.3</v>
      </c>
      <c r="H9" s="123">
        <f t="shared" si="2"/>
        <v>1399200</v>
      </c>
      <c r="I9" s="122">
        <f>+'%'!E8</f>
        <v>0.1</v>
      </c>
      <c r="J9" s="123">
        <f t="shared" si="3"/>
        <v>466400</v>
      </c>
      <c r="K9" s="93">
        <f t="shared" si="4"/>
        <v>2332000</v>
      </c>
      <c r="L9" s="86">
        <f>+'%'!F8</f>
        <v>0</v>
      </c>
      <c r="M9" s="87">
        <f t="shared" si="5"/>
        <v>0</v>
      </c>
      <c r="N9" s="93">
        <f t="shared" si="12"/>
        <v>0</v>
      </c>
      <c r="O9" s="86">
        <v>0.02</v>
      </c>
      <c r="P9" s="87">
        <f t="shared" si="6"/>
        <v>93280</v>
      </c>
      <c r="Q9" s="86">
        <f>+'%'!H8</f>
        <v>0.05</v>
      </c>
      <c r="R9" s="87">
        <f t="shared" si="7"/>
        <v>233200</v>
      </c>
      <c r="S9" s="93">
        <f t="shared" si="13"/>
        <v>326480</v>
      </c>
      <c r="T9" s="88">
        <f>+'%'!I8</f>
        <v>0</v>
      </c>
      <c r="U9" s="89">
        <v>0</v>
      </c>
      <c r="V9" s="88">
        <f>+'%'!J8</f>
        <v>0.1</v>
      </c>
      <c r="W9" s="89">
        <f t="shared" si="9"/>
        <v>466400</v>
      </c>
      <c r="X9" s="93">
        <f t="shared" si="14"/>
        <v>466400</v>
      </c>
      <c r="Y9" s="88">
        <v>0.13</v>
      </c>
      <c r="Z9" s="89">
        <f t="shared" si="10"/>
        <v>606320</v>
      </c>
      <c r="AA9" s="93">
        <f t="shared" si="15"/>
        <v>606320</v>
      </c>
      <c r="AB9" s="81">
        <f t="shared" si="16"/>
        <v>0</v>
      </c>
      <c r="AC9" s="82">
        <f t="shared" si="11"/>
        <v>1</v>
      </c>
      <c r="AE9" s="162"/>
    </row>
    <row r="10" spans="1:31" x14ac:dyDescent="0.25">
      <c r="A10" s="46" t="s">
        <v>51</v>
      </c>
      <c r="B10" s="90">
        <f>+' NOMINAS ENE-DIC'!B150</f>
        <v>2000000</v>
      </c>
      <c r="C10" s="91">
        <f>+'%'!B8</f>
        <v>0.2</v>
      </c>
      <c r="D10" s="93">
        <f t="shared" si="0"/>
        <v>400000</v>
      </c>
      <c r="E10" s="122">
        <f>+'%'!C8</f>
        <v>0.1</v>
      </c>
      <c r="F10" s="123">
        <f t="shared" si="1"/>
        <v>200000</v>
      </c>
      <c r="G10" s="122">
        <f>+'%'!D8</f>
        <v>0.3</v>
      </c>
      <c r="H10" s="123">
        <f t="shared" si="2"/>
        <v>600000</v>
      </c>
      <c r="I10" s="122">
        <f>+'%'!E8</f>
        <v>0.1</v>
      </c>
      <c r="J10" s="123">
        <f t="shared" si="3"/>
        <v>200000</v>
      </c>
      <c r="K10" s="93">
        <f t="shared" si="4"/>
        <v>1000000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86">
        <v>0.02</v>
      </c>
      <c r="P10" s="87">
        <f t="shared" si="6"/>
        <v>40000</v>
      </c>
      <c r="Q10" s="86">
        <f>+'%'!H8</f>
        <v>0.05</v>
      </c>
      <c r="R10" s="87">
        <f t="shared" si="7"/>
        <v>100000</v>
      </c>
      <c r="S10" s="93">
        <f t="shared" si="13"/>
        <v>140000</v>
      </c>
      <c r="T10" s="88">
        <f>+'%'!I8</f>
        <v>0</v>
      </c>
      <c r="U10" s="89">
        <f t="shared" si="8"/>
        <v>0</v>
      </c>
      <c r="V10" s="88">
        <f>+'%'!J8</f>
        <v>0.1</v>
      </c>
      <c r="W10" s="89">
        <f t="shared" si="9"/>
        <v>200000</v>
      </c>
      <c r="X10" s="93">
        <f t="shared" si="14"/>
        <v>200000</v>
      </c>
      <c r="Y10" s="88">
        <v>0.13</v>
      </c>
      <c r="Z10" s="89">
        <f t="shared" si="10"/>
        <v>260000</v>
      </c>
      <c r="AA10" s="93">
        <f t="shared" si="15"/>
        <v>260000</v>
      </c>
      <c r="AB10" s="81">
        <f t="shared" si="16"/>
        <v>0</v>
      </c>
      <c r="AC10" s="82">
        <f t="shared" si="11"/>
        <v>1</v>
      </c>
      <c r="AE10" s="162"/>
    </row>
    <row r="11" spans="1:31" x14ac:dyDescent="0.25">
      <c r="A11" s="46" t="s">
        <v>185</v>
      </c>
      <c r="B11" s="90">
        <f>+' NOMINAS ENE-DIC'!B148</f>
        <v>870000</v>
      </c>
      <c r="C11" s="91">
        <f>+'%'!B9</f>
        <v>0.2</v>
      </c>
      <c r="D11" s="93">
        <f t="shared" si="0"/>
        <v>174000</v>
      </c>
      <c r="E11" s="122">
        <f>+'%'!C9</f>
        <v>0.1</v>
      </c>
      <c r="F11" s="123">
        <f t="shared" si="1"/>
        <v>87000</v>
      </c>
      <c r="G11" s="122">
        <f>+'%'!D9</f>
        <v>0.2</v>
      </c>
      <c r="H11" s="123">
        <f t="shared" si="2"/>
        <v>174000</v>
      </c>
      <c r="I11" s="122">
        <f>+'%'!E9</f>
        <v>0.15</v>
      </c>
      <c r="J11" s="123">
        <f t="shared" si="3"/>
        <v>130500</v>
      </c>
      <c r="K11" s="93">
        <f t="shared" si="4"/>
        <v>391500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86">
        <v>0.02</v>
      </c>
      <c r="P11" s="87">
        <f t="shared" si="6"/>
        <v>17400</v>
      </c>
      <c r="Q11" s="86">
        <f>+'%'!H9</f>
        <v>0.1</v>
      </c>
      <c r="R11" s="87">
        <f t="shared" si="7"/>
        <v>87000</v>
      </c>
      <c r="S11" s="93">
        <f t="shared" si="13"/>
        <v>104400</v>
      </c>
      <c r="T11" s="88">
        <f>+'%'!I9</f>
        <v>0</v>
      </c>
      <c r="U11" s="89">
        <f t="shared" si="8"/>
        <v>0</v>
      </c>
      <c r="V11" s="88">
        <f>+'%'!J9</f>
        <v>0.2</v>
      </c>
      <c r="W11" s="89">
        <f t="shared" si="9"/>
        <v>174000</v>
      </c>
      <c r="X11" s="93">
        <f t="shared" si="14"/>
        <v>174000</v>
      </c>
      <c r="Y11" s="88">
        <v>0.03</v>
      </c>
      <c r="Z11" s="89">
        <f t="shared" si="10"/>
        <v>26100</v>
      </c>
      <c r="AA11" s="93">
        <f t="shared" si="15"/>
        <v>26100</v>
      </c>
      <c r="AB11" s="81">
        <f t="shared" si="16"/>
        <v>0</v>
      </c>
      <c r="AC11" s="82">
        <f t="shared" si="11"/>
        <v>1</v>
      </c>
      <c r="AE11" s="162"/>
    </row>
    <row r="12" spans="1:31" x14ac:dyDescent="0.25">
      <c r="A12" s="46" t="s">
        <v>181</v>
      </c>
      <c r="B12" s="92">
        <f>SUM(B5:B11)</f>
        <v>21802270.592</v>
      </c>
      <c r="C12" s="44"/>
      <c r="D12" s="93">
        <f>SUM(D5:D11)</f>
        <v>5429840.2488000002</v>
      </c>
      <c r="E12" s="124"/>
      <c r="F12" s="125">
        <f>SUM(F5:F11)</f>
        <v>3054306.9928000001</v>
      </c>
      <c r="G12" s="124"/>
      <c r="H12" s="125">
        <f>SUM(H5:H11)</f>
        <v>5890049.7576000001</v>
      </c>
      <c r="I12" s="124"/>
      <c r="J12" s="125">
        <f>SUM(J5:J11)</f>
        <v>1504871.3824</v>
      </c>
      <c r="K12" s="93">
        <f>SUM(K5:K11)</f>
        <v>10449228.1328</v>
      </c>
      <c r="L12" s="44"/>
      <c r="M12" s="95">
        <f>SUM(M5:M11)</f>
        <v>50238.715680000001</v>
      </c>
      <c r="N12" s="93">
        <f t="shared" si="12"/>
        <v>50238.715680000001</v>
      </c>
      <c r="O12" s="44"/>
      <c r="P12" s="95">
        <f>SUM(P5:P11)</f>
        <v>251157.43135999999</v>
      </c>
      <c r="Q12" s="44"/>
      <c r="R12" s="95">
        <f>SUM(R5:R11)</f>
        <v>848386.424</v>
      </c>
      <c r="S12" s="93">
        <f t="shared" si="13"/>
        <v>1099543.8553599999</v>
      </c>
      <c r="T12" s="44"/>
      <c r="U12" s="94">
        <f>SUM(U5:U11)</f>
        <v>1004774.3136</v>
      </c>
      <c r="V12" s="44"/>
      <c r="W12" s="94">
        <f>SUM(W5:W11)</f>
        <v>2373838.1689599999</v>
      </c>
      <c r="X12" s="93">
        <f t="shared" si="14"/>
        <v>3378612.4825599999</v>
      </c>
      <c r="Y12" s="79"/>
      <c r="Z12" s="94">
        <f>SUM(Z5:Z11)</f>
        <v>1394807.1568</v>
      </c>
      <c r="AA12" s="93">
        <f t="shared" si="15"/>
        <v>1394807.1568</v>
      </c>
      <c r="AB12" s="81">
        <f t="shared" si="16"/>
        <v>0</v>
      </c>
      <c r="AC12" s="82">
        <f t="shared" si="11"/>
        <v>0</v>
      </c>
    </row>
    <row r="15" spans="1:31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302</v>
      </c>
      <c r="O15" s="75" t="s">
        <v>162</v>
      </c>
      <c r="P15" s="75" t="s">
        <v>176</v>
      </c>
      <c r="Q15" s="76" t="s">
        <v>163</v>
      </c>
      <c r="R15" s="76" t="s">
        <v>176</v>
      </c>
      <c r="S15" s="71" t="s">
        <v>171</v>
      </c>
      <c r="T15" s="77" t="s">
        <v>164</v>
      </c>
      <c r="U15" s="77" t="s">
        <v>176</v>
      </c>
      <c r="V15" s="78" t="s">
        <v>165</v>
      </c>
      <c r="W15" s="78" t="s">
        <v>176</v>
      </c>
      <c r="X15" s="71" t="s">
        <v>303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1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86">
        <v>0.03</v>
      </c>
      <c r="P16" s="87">
        <f>+O16*B16</f>
        <v>39340.799999999996</v>
      </c>
      <c r="Q16" s="86">
        <v>0.05</v>
      </c>
      <c r="R16" s="87">
        <f>+Q16*B16</f>
        <v>65568</v>
      </c>
      <c r="S16" s="93">
        <f>+P16+R16</f>
        <v>104908.79999999999</v>
      </c>
      <c r="T16" s="88">
        <v>0.15</v>
      </c>
      <c r="U16" s="89">
        <f>+T16*B16</f>
        <v>196704</v>
      </c>
      <c r="V16" s="88">
        <v>0.45</v>
      </c>
      <c r="W16" s="89">
        <f>+V16*B16</f>
        <v>590112</v>
      </c>
      <c r="X16" s="93">
        <f>+U16+W16</f>
        <v>786816</v>
      </c>
      <c r="Y16" s="88">
        <v>0</v>
      </c>
      <c r="Z16" s="89">
        <f t="shared" ref="Z16:Z49" si="17">+Y16*B16</f>
        <v>0</v>
      </c>
      <c r="AA16" s="93">
        <f>+Z16</f>
        <v>0</v>
      </c>
      <c r="AB16" s="81">
        <f>+(D16+K16+N16+S16+X16+AA16)-B16</f>
        <v>0</v>
      </c>
      <c r="AC16" s="82">
        <f>+C16+E16+G16+I16+L16+O16+Q16+T16+V16+Y16</f>
        <v>1</v>
      </c>
      <c r="AD16" s="159">
        <f t="shared" ref="AD16:AD49" si="18">+AA16+S16+K16</f>
        <v>380294.39999999997</v>
      </c>
    </row>
    <row r="17" spans="1:30" x14ac:dyDescent="0.25">
      <c r="A17" s="46" t="s">
        <v>81</v>
      </c>
      <c r="B17" s="90"/>
      <c r="C17" s="91">
        <v>0</v>
      </c>
      <c r="D17" s="85">
        <f t="shared" ref="D17:D49" si="19">+B17*C17</f>
        <v>0</v>
      </c>
      <c r="E17" s="122">
        <v>0.6</v>
      </c>
      <c r="F17" s="123">
        <f t="shared" ref="F17:F49" si="20">+B17*E17</f>
        <v>0</v>
      </c>
      <c r="G17" s="122">
        <v>0.4</v>
      </c>
      <c r="H17" s="123">
        <f t="shared" ref="H17:H49" si="21">+B17*G17</f>
        <v>0</v>
      </c>
      <c r="I17" s="122">
        <v>0</v>
      </c>
      <c r="J17" s="123">
        <f t="shared" ref="J17:J49" si="22">+B17*I17</f>
        <v>0</v>
      </c>
      <c r="K17" s="93">
        <f t="shared" ref="K17:K49" si="23">+F17+H17+J17</f>
        <v>0</v>
      </c>
      <c r="L17" s="86">
        <v>0</v>
      </c>
      <c r="M17" s="87">
        <f t="shared" ref="M17:M49" si="24">+L17*B17</f>
        <v>0</v>
      </c>
      <c r="N17" s="93">
        <f t="shared" ref="N17:N50" si="25">+M17</f>
        <v>0</v>
      </c>
      <c r="O17" s="86">
        <v>0</v>
      </c>
      <c r="P17" s="87">
        <f t="shared" ref="P17:P49" si="26">+O17*B17</f>
        <v>0</v>
      </c>
      <c r="Q17" s="86">
        <v>0</v>
      </c>
      <c r="R17" s="87">
        <f t="shared" ref="R17:R49" si="27">+Q17*B17</f>
        <v>0</v>
      </c>
      <c r="S17" s="93">
        <f t="shared" ref="S17:S50" si="28">+P17+R17</f>
        <v>0</v>
      </c>
      <c r="T17" s="88">
        <v>0</v>
      </c>
      <c r="U17" s="89">
        <f t="shared" ref="U17:U49" si="29">+T17*B17</f>
        <v>0</v>
      </c>
      <c r="V17" s="88">
        <v>0</v>
      </c>
      <c r="W17" s="89">
        <f>+V17*B17</f>
        <v>0</v>
      </c>
      <c r="X17" s="93">
        <f t="shared" ref="X17:X50" si="30">+U17+W17</f>
        <v>0</v>
      </c>
      <c r="Y17" s="88">
        <v>0</v>
      </c>
      <c r="Z17" s="89">
        <f t="shared" si="17"/>
        <v>0</v>
      </c>
      <c r="AA17" s="93">
        <f t="shared" ref="AA17:AA50" si="31">+Z17</f>
        <v>0</v>
      </c>
      <c r="AB17" s="81">
        <f t="shared" ref="AB17:AB50" si="32">+(D17+K17+N17+S17+X17+AA17)-B17</f>
        <v>0</v>
      </c>
      <c r="AC17" s="82">
        <f t="shared" ref="AC17:AC50" si="33">+C17+E17+G17+I17+L17+O17+Q17+T17+V17+Y17</f>
        <v>1</v>
      </c>
      <c r="AD17" s="159">
        <f t="shared" si="18"/>
        <v>0</v>
      </c>
    </row>
    <row r="18" spans="1:30" x14ac:dyDescent="0.25">
      <c r="A18" s="46" t="s">
        <v>268</v>
      </c>
      <c r="B18" s="90">
        <v>1000000</v>
      </c>
      <c r="C18" s="91">
        <v>0</v>
      </c>
      <c r="D18" s="85">
        <f t="shared" si="19"/>
        <v>0</v>
      </c>
      <c r="E18" s="122">
        <v>0.6</v>
      </c>
      <c r="F18" s="123">
        <f t="shared" si="20"/>
        <v>600000</v>
      </c>
      <c r="G18" s="122">
        <v>0.4</v>
      </c>
      <c r="H18" s="123">
        <f t="shared" si="21"/>
        <v>400000</v>
      </c>
      <c r="I18" s="122">
        <v>0</v>
      </c>
      <c r="J18" s="123">
        <f t="shared" si="22"/>
        <v>0</v>
      </c>
      <c r="K18" s="93">
        <f t="shared" si="23"/>
        <v>1000000</v>
      </c>
      <c r="L18" s="86">
        <v>0</v>
      </c>
      <c r="M18" s="87">
        <f t="shared" si="24"/>
        <v>0</v>
      </c>
      <c r="N18" s="93">
        <f t="shared" si="25"/>
        <v>0</v>
      </c>
      <c r="O18" s="86">
        <v>0</v>
      </c>
      <c r="P18" s="87">
        <f t="shared" si="26"/>
        <v>0</v>
      </c>
      <c r="Q18" s="86">
        <v>0</v>
      </c>
      <c r="R18" s="87">
        <f t="shared" si="27"/>
        <v>0</v>
      </c>
      <c r="S18" s="93">
        <f t="shared" si="28"/>
        <v>0</v>
      </c>
      <c r="T18" s="88">
        <v>0</v>
      </c>
      <c r="U18" s="89">
        <f t="shared" si="29"/>
        <v>0</v>
      </c>
      <c r="V18" s="88">
        <v>0</v>
      </c>
      <c r="W18" s="89">
        <f>+V18*B18</f>
        <v>0</v>
      </c>
      <c r="X18" s="93">
        <f t="shared" si="30"/>
        <v>0</v>
      </c>
      <c r="Y18" s="88">
        <v>0</v>
      </c>
      <c r="Z18" s="89">
        <f t="shared" si="17"/>
        <v>0</v>
      </c>
      <c r="AA18" s="93">
        <f t="shared" si="31"/>
        <v>0</v>
      </c>
      <c r="AB18" s="81">
        <f t="shared" si="32"/>
        <v>0</v>
      </c>
      <c r="AC18" s="82">
        <f t="shared" si="33"/>
        <v>1</v>
      </c>
      <c r="AD18" s="159">
        <f t="shared" si="18"/>
        <v>1000000</v>
      </c>
    </row>
    <row r="19" spans="1:30" x14ac:dyDescent="0.25">
      <c r="A19" s="46" t="s">
        <v>186</v>
      </c>
      <c r="B19" s="90">
        <v>750000</v>
      </c>
      <c r="C19" s="91">
        <v>0.1</v>
      </c>
      <c r="D19" s="85">
        <f t="shared" si="19"/>
        <v>75000</v>
      </c>
      <c r="E19" s="122">
        <v>0</v>
      </c>
      <c r="F19" s="123">
        <f t="shared" si="20"/>
        <v>0</v>
      </c>
      <c r="G19" s="122">
        <v>0</v>
      </c>
      <c r="H19" s="123">
        <f t="shared" si="21"/>
        <v>0</v>
      </c>
      <c r="I19" s="122">
        <v>0</v>
      </c>
      <c r="J19" s="123">
        <f t="shared" si="22"/>
        <v>0</v>
      </c>
      <c r="K19" s="93">
        <f t="shared" si="23"/>
        <v>0</v>
      </c>
      <c r="L19" s="86">
        <v>0.01</v>
      </c>
      <c r="M19" s="87">
        <f t="shared" si="24"/>
        <v>7500</v>
      </c>
      <c r="N19" s="93">
        <f t="shared" si="25"/>
        <v>7500</v>
      </c>
      <c r="O19" s="86">
        <v>0.2</v>
      </c>
      <c r="P19" s="87">
        <f t="shared" si="26"/>
        <v>150000</v>
      </c>
      <c r="Q19" s="86">
        <v>0.15</v>
      </c>
      <c r="R19" s="87">
        <f t="shared" si="27"/>
        <v>112500</v>
      </c>
      <c r="S19" s="93">
        <f t="shared" si="28"/>
        <v>262500</v>
      </c>
      <c r="T19" s="88">
        <v>0.2</v>
      </c>
      <c r="U19" s="89">
        <f t="shared" si="29"/>
        <v>150000</v>
      </c>
      <c r="V19" s="88">
        <v>0.24</v>
      </c>
      <c r="W19" s="89">
        <f t="shared" ref="W19:W49" si="34">+V19*B19</f>
        <v>180000</v>
      </c>
      <c r="X19" s="93">
        <f t="shared" si="30"/>
        <v>330000</v>
      </c>
      <c r="Y19" s="88">
        <v>0.1</v>
      </c>
      <c r="Z19" s="89">
        <f t="shared" si="17"/>
        <v>75000</v>
      </c>
      <c r="AA19" s="93">
        <f t="shared" si="31"/>
        <v>75000</v>
      </c>
      <c r="AB19" s="81">
        <f t="shared" si="32"/>
        <v>0</v>
      </c>
      <c r="AC19" s="82">
        <f t="shared" si="33"/>
        <v>0.99999999999999989</v>
      </c>
      <c r="AD19" s="159">
        <f t="shared" si="18"/>
        <v>337500</v>
      </c>
    </row>
    <row r="20" spans="1:30" x14ac:dyDescent="0.25">
      <c r="A20" s="46" t="s">
        <v>276</v>
      </c>
      <c r="B20" s="90"/>
      <c r="C20" s="91">
        <v>0</v>
      </c>
      <c r="D20" s="85">
        <f t="shared" si="19"/>
        <v>0</v>
      </c>
      <c r="E20" s="122">
        <v>0</v>
      </c>
      <c r="F20" s="123">
        <f t="shared" si="20"/>
        <v>0</v>
      </c>
      <c r="G20" s="122">
        <v>0</v>
      </c>
      <c r="H20" s="123">
        <f t="shared" si="21"/>
        <v>0</v>
      </c>
      <c r="I20" s="122">
        <v>0</v>
      </c>
      <c r="J20" s="123">
        <f t="shared" si="22"/>
        <v>0</v>
      </c>
      <c r="K20" s="93">
        <f t="shared" si="23"/>
        <v>0</v>
      </c>
      <c r="L20" s="86">
        <v>0</v>
      </c>
      <c r="M20" s="87">
        <f t="shared" si="24"/>
        <v>0</v>
      </c>
      <c r="N20" s="93">
        <f t="shared" si="25"/>
        <v>0</v>
      </c>
      <c r="O20" s="86">
        <v>0</v>
      </c>
      <c r="P20" s="87">
        <f t="shared" si="26"/>
        <v>0</v>
      </c>
      <c r="Q20" s="86">
        <v>0</v>
      </c>
      <c r="R20" s="87">
        <f t="shared" si="27"/>
        <v>0</v>
      </c>
      <c r="S20" s="93">
        <f t="shared" si="28"/>
        <v>0</v>
      </c>
      <c r="T20" s="88">
        <v>0</v>
      </c>
      <c r="U20" s="89">
        <f t="shared" si="29"/>
        <v>0</v>
      </c>
      <c r="V20" s="88">
        <v>0</v>
      </c>
      <c r="W20" s="89">
        <f t="shared" si="34"/>
        <v>0</v>
      </c>
      <c r="X20" s="93">
        <f t="shared" si="30"/>
        <v>0</v>
      </c>
      <c r="Y20" s="88">
        <v>1</v>
      </c>
      <c r="Z20" s="89">
        <f t="shared" si="17"/>
        <v>0</v>
      </c>
      <c r="AA20" s="93">
        <f t="shared" si="31"/>
        <v>0</v>
      </c>
      <c r="AB20" s="81">
        <f t="shared" si="32"/>
        <v>0</v>
      </c>
      <c r="AC20" s="82">
        <f t="shared" si="33"/>
        <v>1</v>
      </c>
      <c r="AD20" s="159">
        <f t="shared" si="18"/>
        <v>0</v>
      </c>
    </row>
    <row r="21" spans="1:30" x14ac:dyDescent="0.25">
      <c r="A21" s="46" t="s">
        <v>277</v>
      </c>
      <c r="B21" s="90">
        <v>97114</v>
      </c>
      <c r="C21" s="91">
        <v>0.1</v>
      </c>
      <c r="D21" s="85">
        <f t="shared" si="19"/>
        <v>9711.4</v>
      </c>
      <c r="E21" s="122">
        <v>0</v>
      </c>
      <c r="F21" s="123">
        <f t="shared" si="20"/>
        <v>0</v>
      </c>
      <c r="G21" s="122">
        <v>0</v>
      </c>
      <c r="H21" s="123">
        <f t="shared" si="21"/>
        <v>0</v>
      </c>
      <c r="I21" s="122">
        <v>0</v>
      </c>
      <c r="J21" s="123">
        <f t="shared" si="22"/>
        <v>0</v>
      </c>
      <c r="K21" s="93">
        <f t="shared" si="23"/>
        <v>0</v>
      </c>
      <c r="L21" s="86">
        <v>0</v>
      </c>
      <c r="M21" s="87">
        <f t="shared" si="24"/>
        <v>0</v>
      </c>
      <c r="N21" s="93">
        <f t="shared" si="25"/>
        <v>0</v>
      </c>
      <c r="O21" s="86">
        <v>0</v>
      </c>
      <c r="P21" s="87">
        <f t="shared" si="26"/>
        <v>0</v>
      </c>
      <c r="Q21" s="86">
        <v>0</v>
      </c>
      <c r="R21" s="87">
        <f t="shared" si="27"/>
        <v>0</v>
      </c>
      <c r="S21" s="93">
        <f t="shared" si="28"/>
        <v>0</v>
      </c>
      <c r="T21" s="88">
        <v>0.1</v>
      </c>
      <c r="U21" s="89">
        <f t="shared" si="29"/>
        <v>9711.4</v>
      </c>
      <c r="V21" s="88">
        <v>0.7</v>
      </c>
      <c r="W21" s="89">
        <f t="shared" si="34"/>
        <v>67979.8</v>
      </c>
      <c r="X21" s="93">
        <f t="shared" si="30"/>
        <v>77691.199999999997</v>
      </c>
      <c r="Y21" s="88">
        <v>0.1</v>
      </c>
      <c r="Z21" s="89">
        <f t="shared" si="17"/>
        <v>9711.4</v>
      </c>
      <c r="AA21" s="93">
        <f t="shared" si="31"/>
        <v>9711.4</v>
      </c>
      <c r="AB21" s="81">
        <f t="shared" si="32"/>
        <v>0</v>
      </c>
      <c r="AC21" s="82">
        <f t="shared" si="33"/>
        <v>0.99999999999999989</v>
      </c>
      <c r="AD21" s="159">
        <f t="shared" si="18"/>
        <v>9711.4</v>
      </c>
    </row>
    <row r="22" spans="1:30" x14ac:dyDescent="0.25">
      <c r="A22" s="46" t="s">
        <v>121</v>
      </c>
      <c r="B22" s="90">
        <v>2063600</v>
      </c>
      <c r="C22" s="91">
        <v>0.1</v>
      </c>
      <c r="D22" s="85">
        <f t="shared" si="19"/>
        <v>206360</v>
      </c>
      <c r="E22" s="122">
        <v>0.05</v>
      </c>
      <c r="F22" s="123">
        <f t="shared" si="20"/>
        <v>103180</v>
      </c>
      <c r="G22" s="122">
        <v>0.05</v>
      </c>
      <c r="H22" s="123">
        <f t="shared" si="21"/>
        <v>103180</v>
      </c>
      <c r="I22" s="122">
        <v>0.01</v>
      </c>
      <c r="J22" s="123">
        <f t="shared" si="22"/>
        <v>20636</v>
      </c>
      <c r="K22" s="93">
        <f t="shared" si="23"/>
        <v>226996</v>
      </c>
      <c r="L22" s="86">
        <v>0</v>
      </c>
      <c r="M22" s="87">
        <f t="shared" si="24"/>
        <v>0</v>
      </c>
      <c r="N22" s="93">
        <f t="shared" si="25"/>
        <v>0</v>
      </c>
      <c r="O22" s="86">
        <v>0.05</v>
      </c>
      <c r="P22" s="87">
        <f t="shared" si="26"/>
        <v>103180</v>
      </c>
      <c r="Q22" s="86">
        <v>0.05</v>
      </c>
      <c r="R22" s="87">
        <f t="shared" si="27"/>
        <v>103180</v>
      </c>
      <c r="S22" s="93">
        <f t="shared" si="28"/>
        <v>206360</v>
      </c>
      <c r="T22" s="88">
        <v>0</v>
      </c>
      <c r="U22" s="89">
        <f t="shared" si="29"/>
        <v>0</v>
      </c>
      <c r="V22" s="88">
        <v>0.45</v>
      </c>
      <c r="W22" s="89">
        <f t="shared" si="34"/>
        <v>928620</v>
      </c>
      <c r="X22" s="93">
        <f t="shared" si="30"/>
        <v>928620</v>
      </c>
      <c r="Y22" s="88">
        <v>0.24</v>
      </c>
      <c r="Z22" s="89">
        <f t="shared" si="17"/>
        <v>495264</v>
      </c>
      <c r="AA22" s="93">
        <f t="shared" si="31"/>
        <v>495264</v>
      </c>
      <c r="AB22" s="81">
        <f t="shared" si="32"/>
        <v>0</v>
      </c>
      <c r="AC22" s="82">
        <f t="shared" si="33"/>
        <v>1</v>
      </c>
      <c r="AD22" s="159">
        <f t="shared" si="18"/>
        <v>928620</v>
      </c>
    </row>
    <row r="23" spans="1:30" x14ac:dyDescent="0.25">
      <c r="A23" s="46" t="s">
        <v>111</v>
      </c>
      <c r="B23" s="90">
        <v>517767</v>
      </c>
      <c r="C23" s="91">
        <v>0</v>
      </c>
      <c r="D23" s="85">
        <f t="shared" si="19"/>
        <v>0</v>
      </c>
      <c r="E23" s="122">
        <v>0</v>
      </c>
      <c r="F23" s="123">
        <f t="shared" si="20"/>
        <v>0</v>
      </c>
      <c r="G23" s="122">
        <v>0</v>
      </c>
      <c r="H23" s="123">
        <f t="shared" si="21"/>
        <v>0</v>
      </c>
      <c r="I23" s="122">
        <v>0</v>
      </c>
      <c r="J23" s="123">
        <f t="shared" si="22"/>
        <v>0</v>
      </c>
      <c r="K23" s="93">
        <f t="shared" si="23"/>
        <v>0</v>
      </c>
      <c r="L23" s="86">
        <v>0</v>
      </c>
      <c r="M23" s="87">
        <f t="shared" si="24"/>
        <v>0</v>
      </c>
      <c r="N23" s="93">
        <f t="shared" si="25"/>
        <v>0</v>
      </c>
      <c r="O23" s="86">
        <v>0</v>
      </c>
      <c r="P23" s="87">
        <f t="shared" si="26"/>
        <v>0</v>
      </c>
      <c r="Q23" s="86">
        <v>0</v>
      </c>
      <c r="R23" s="87">
        <f t="shared" si="27"/>
        <v>0</v>
      </c>
      <c r="S23" s="93">
        <f t="shared" si="28"/>
        <v>0</v>
      </c>
      <c r="T23" s="88">
        <v>0</v>
      </c>
      <c r="U23" s="89">
        <f t="shared" si="29"/>
        <v>0</v>
      </c>
      <c r="V23" s="88">
        <v>0</v>
      </c>
      <c r="W23" s="89">
        <f t="shared" si="34"/>
        <v>0</v>
      </c>
      <c r="X23" s="93">
        <f t="shared" si="30"/>
        <v>0</v>
      </c>
      <c r="Y23" s="88">
        <v>1</v>
      </c>
      <c r="Z23" s="89">
        <f t="shared" si="17"/>
        <v>517767</v>
      </c>
      <c r="AA23" s="93">
        <f t="shared" si="31"/>
        <v>517767</v>
      </c>
      <c r="AB23" s="81">
        <f t="shared" si="32"/>
        <v>0</v>
      </c>
      <c r="AC23" s="82">
        <f t="shared" si="33"/>
        <v>1</v>
      </c>
      <c r="AD23" s="159">
        <f t="shared" si="18"/>
        <v>517767</v>
      </c>
    </row>
    <row r="24" spans="1:30" x14ac:dyDescent="0.25">
      <c r="A24" s="46" t="s">
        <v>220</v>
      </c>
      <c r="B24" s="90">
        <v>191217</v>
      </c>
      <c r="C24" s="91">
        <v>0.1</v>
      </c>
      <c r="D24" s="85">
        <f t="shared" si="19"/>
        <v>19121.7</v>
      </c>
      <c r="E24" s="122">
        <v>0.05</v>
      </c>
      <c r="F24" s="123">
        <f t="shared" si="20"/>
        <v>9560.85</v>
      </c>
      <c r="G24" s="122">
        <v>0.15</v>
      </c>
      <c r="H24" s="123">
        <f t="shared" si="21"/>
        <v>28682.55</v>
      </c>
      <c r="I24" s="122">
        <v>0</v>
      </c>
      <c r="J24" s="123">
        <f t="shared" si="22"/>
        <v>0</v>
      </c>
      <c r="K24" s="93">
        <f t="shared" si="23"/>
        <v>38243.4</v>
      </c>
      <c r="L24" s="86">
        <v>0</v>
      </c>
      <c r="M24" s="87">
        <f t="shared" si="24"/>
        <v>0</v>
      </c>
      <c r="N24" s="93">
        <f t="shared" si="25"/>
        <v>0</v>
      </c>
      <c r="O24" s="86">
        <v>0</v>
      </c>
      <c r="P24" s="87">
        <f t="shared" si="26"/>
        <v>0</v>
      </c>
      <c r="Q24" s="86">
        <v>0.05</v>
      </c>
      <c r="R24" s="87">
        <f t="shared" si="27"/>
        <v>9560.85</v>
      </c>
      <c r="S24" s="93">
        <f t="shared" si="28"/>
        <v>9560.85</v>
      </c>
      <c r="T24" s="88">
        <v>0.15</v>
      </c>
      <c r="U24" s="89">
        <f t="shared" si="29"/>
        <v>28682.55</v>
      </c>
      <c r="V24" s="88">
        <v>0.45</v>
      </c>
      <c r="W24" s="89">
        <f t="shared" si="34"/>
        <v>86047.650000000009</v>
      </c>
      <c r="X24" s="93">
        <f t="shared" si="30"/>
        <v>114730.20000000001</v>
      </c>
      <c r="Y24" s="88">
        <v>0.05</v>
      </c>
      <c r="Z24" s="89">
        <f t="shared" si="17"/>
        <v>9560.85</v>
      </c>
      <c r="AA24" s="93">
        <f t="shared" si="31"/>
        <v>9560.85</v>
      </c>
      <c r="AB24" s="81">
        <f t="shared" si="32"/>
        <v>0</v>
      </c>
      <c r="AC24" s="82">
        <f t="shared" si="33"/>
        <v>1</v>
      </c>
      <c r="AD24" s="159">
        <f t="shared" si="18"/>
        <v>57365.100000000006</v>
      </c>
    </row>
    <row r="25" spans="1:30" x14ac:dyDescent="0.25">
      <c r="A25" s="46" t="s">
        <v>68</v>
      </c>
      <c r="B25" s="90">
        <v>238958</v>
      </c>
      <c r="C25" s="91">
        <v>0.1</v>
      </c>
      <c r="D25" s="85">
        <f t="shared" si="19"/>
        <v>23895.800000000003</v>
      </c>
      <c r="E25" s="122">
        <v>0.05</v>
      </c>
      <c r="F25" s="123">
        <f t="shared" si="20"/>
        <v>11947.900000000001</v>
      </c>
      <c r="G25" s="122">
        <v>0.15</v>
      </c>
      <c r="H25" s="123">
        <f t="shared" si="21"/>
        <v>35843.699999999997</v>
      </c>
      <c r="I25" s="122">
        <v>0</v>
      </c>
      <c r="J25" s="123">
        <f t="shared" si="22"/>
        <v>0</v>
      </c>
      <c r="K25" s="93">
        <f t="shared" si="23"/>
        <v>47791.6</v>
      </c>
      <c r="L25" s="86">
        <v>0</v>
      </c>
      <c r="M25" s="87">
        <f t="shared" si="24"/>
        <v>0</v>
      </c>
      <c r="N25" s="93">
        <f t="shared" si="25"/>
        <v>0</v>
      </c>
      <c r="O25" s="86">
        <v>0</v>
      </c>
      <c r="P25" s="87">
        <f t="shared" si="26"/>
        <v>0</v>
      </c>
      <c r="Q25" s="86">
        <v>0.05</v>
      </c>
      <c r="R25" s="87">
        <f t="shared" si="27"/>
        <v>11947.900000000001</v>
      </c>
      <c r="S25" s="93">
        <f t="shared" si="28"/>
        <v>11947.900000000001</v>
      </c>
      <c r="T25" s="88">
        <v>0.15</v>
      </c>
      <c r="U25" s="89">
        <f t="shared" si="29"/>
        <v>35843.699999999997</v>
      </c>
      <c r="V25" s="88">
        <v>0.45</v>
      </c>
      <c r="W25" s="89">
        <f t="shared" si="34"/>
        <v>107531.1</v>
      </c>
      <c r="X25" s="93">
        <f t="shared" si="30"/>
        <v>143374.79999999999</v>
      </c>
      <c r="Y25" s="88">
        <v>0.05</v>
      </c>
      <c r="Z25" s="89">
        <f t="shared" si="17"/>
        <v>11947.900000000001</v>
      </c>
      <c r="AA25" s="93">
        <f t="shared" si="31"/>
        <v>11947.900000000001</v>
      </c>
      <c r="AB25" s="81">
        <f t="shared" si="32"/>
        <v>0</v>
      </c>
      <c r="AC25" s="82">
        <f t="shared" si="33"/>
        <v>1</v>
      </c>
      <c r="AD25" s="159">
        <f t="shared" si="18"/>
        <v>71687.399999999994</v>
      </c>
    </row>
    <row r="26" spans="1:30" x14ac:dyDescent="0.25">
      <c r="A26" s="46" t="s">
        <v>187</v>
      </c>
      <c r="B26" s="90">
        <v>294334</v>
      </c>
      <c r="C26" s="91">
        <v>0.1</v>
      </c>
      <c r="D26" s="85">
        <f t="shared" si="19"/>
        <v>29433.4</v>
      </c>
      <c r="E26" s="122">
        <v>0</v>
      </c>
      <c r="F26" s="123">
        <f t="shared" si="20"/>
        <v>0</v>
      </c>
      <c r="G26" s="122">
        <v>0</v>
      </c>
      <c r="H26" s="123">
        <f t="shared" si="21"/>
        <v>0</v>
      </c>
      <c r="I26" s="122">
        <v>0.1</v>
      </c>
      <c r="J26" s="123">
        <f t="shared" si="22"/>
        <v>29433.4</v>
      </c>
      <c r="K26" s="93">
        <f t="shared" si="23"/>
        <v>29433.4</v>
      </c>
      <c r="L26" s="86">
        <v>0</v>
      </c>
      <c r="M26" s="87">
        <f t="shared" si="24"/>
        <v>0</v>
      </c>
      <c r="N26" s="93">
        <f t="shared" si="25"/>
        <v>0</v>
      </c>
      <c r="O26" s="86">
        <v>0.05</v>
      </c>
      <c r="P26" s="87">
        <f t="shared" si="26"/>
        <v>14716.7</v>
      </c>
      <c r="Q26" s="86">
        <v>0.1</v>
      </c>
      <c r="R26" s="87">
        <f t="shared" si="27"/>
        <v>29433.4</v>
      </c>
      <c r="S26" s="93">
        <f t="shared" si="28"/>
        <v>44150.100000000006</v>
      </c>
      <c r="T26" s="88">
        <v>0.05</v>
      </c>
      <c r="U26" s="89">
        <f t="shared" si="29"/>
        <v>14716.7</v>
      </c>
      <c r="V26" s="88">
        <v>0.6</v>
      </c>
      <c r="W26" s="89">
        <f t="shared" si="34"/>
        <v>176600.4</v>
      </c>
      <c r="X26" s="93">
        <f t="shared" si="30"/>
        <v>191317.1</v>
      </c>
      <c r="Y26" s="88">
        <v>0</v>
      </c>
      <c r="Z26" s="89">
        <f t="shared" si="17"/>
        <v>0</v>
      </c>
      <c r="AA26" s="93">
        <f t="shared" si="31"/>
        <v>0</v>
      </c>
      <c r="AB26" s="81">
        <f t="shared" si="32"/>
        <v>0</v>
      </c>
      <c r="AC26" s="82">
        <f t="shared" si="33"/>
        <v>1</v>
      </c>
      <c r="AD26" s="159">
        <f t="shared" si="18"/>
        <v>73583.5</v>
      </c>
    </row>
    <row r="27" spans="1:30" x14ac:dyDescent="0.25">
      <c r="A27" s="46" t="s">
        <v>188</v>
      </c>
      <c r="B27" s="90">
        <v>217856</v>
      </c>
      <c r="C27" s="91">
        <v>0.1</v>
      </c>
      <c r="D27" s="85">
        <f t="shared" si="19"/>
        <v>21785.600000000002</v>
      </c>
      <c r="E27" s="122">
        <v>0</v>
      </c>
      <c r="F27" s="123">
        <f t="shared" si="20"/>
        <v>0</v>
      </c>
      <c r="G27" s="122">
        <v>0.1</v>
      </c>
      <c r="H27" s="123">
        <f t="shared" si="21"/>
        <v>21785.600000000002</v>
      </c>
      <c r="I27" s="122">
        <v>0.02</v>
      </c>
      <c r="J27" s="123">
        <f t="shared" si="22"/>
        <v>4357.12</v>
      </c>
      <c r="K27" s="93">
        <f t="shared" si="23"/>
        <v>26142.720000000001</v>
      </c>
      <c r="L27" s="86">
        <v>0</v>
      </c>
      <c r="M27" s="87">
        <f t="shared" si="24"/>
        <v>0</v>
      </c>
      <c r="N27" s="93">
        <f t="shared" si="25"/>
        <v>0</v>
      </c>
      <c r="O27" s="86">
        <v>0.1</v>
      </c>
      <c r="P27" s="87">
        <f t="shared" si="26"/>
        <v>21785.600000000002</v>
      </c>
      <c r="Q27" s="86">
        <v>0.05</v>
      </c>
      <c r="R27" s="87">
        <f t="shared" si="27"/>
        <v>10892.800000000001</v>
      </c>
      <c r="S27" s="93">
        <f t="shared" si="28"/>
        <v>32678.400000000001</v>
      </c>
      <c r="T27" s="88">
        <v>0.02</v>
      </c>
      <c r="U27" s="89">
        <f t="shared" si="29"/>
        <v>4357.12</v>
      </c>
      <c r="V27" s="88">
        <v>0.61</v>
      </c>
      <c r="W27" s="89">
        <f t="shared" si="34"/>
        <v>132892.16</v>
      </c>
      <c r="X27" s="93">
        <f t="shared" si="30"/>
        <v>137249.28</v>
      </c>
      <c r="Y27" s="88">
        <v>0</v>
      </c>
      <c r="Z27" s="89">
        <f t="shared" si="17"/>
        <v>0</v>
      </c>
      <c r="AA27" s="93">
        <f t="shared" si="31"/>
        <v>0</v>
      </c>
      <c r="AB27" s="81">
        <f t="shared" si="32"/>
        <v>0</v>
      </c>
      <c r="AC27" s="82">
        <f t="shared" si="33"/>
        <v>1</v>
      </c>
      <c r="AD27" s="159">
        <f t="shared" si="18"/>
        <v>58821.120000000003</v>
      </c>
    </row>
    <row r="28" spans="1:30" x14ac:dyDescent="0.25">
      <c r="A28" s="46" t="s">
        <v>263</v>
      </c>
      <c r="B28" s="90"/>
      <c r="C28" s="91">
        <v>0.1</v>
      </c>
      <c r="D28" s="85">
        <f t="shared" si="19"/>
        <v>0</v>
      </c>
      <c r="E28" s="122">
        <v>0</v>
      </c>
      <c r="F28" s="123">
        <f t="shared" si="20"/>
        <v>0</v>
      </c>
      <c r="G28" s="122">
        <v>0.1</v>
      </c>
      <c r="H28" s="123">
        <f t="shared" si="21"/>
        <v>0</v>
      </c>
      <c r="I28" s="122">
        <v>0.02</v>
      </c>
      <c r="J28" s="123">
        <f t="shared" si="22"/>
        <v>0</v>
      </c>
      <c r="K28" s="93">
        <f t="shared" si="23"/>
        <v>0</v>
      </c>
      <c r="L28" s="86">
        <v>0</v>
      </c>
      <c r="M28" s="87">
        <f t="shared" si="24"/>
        <v>0</v>
      </c>
      <c r="N28" s="93">
        <f t="shared" si="25"/>
        <v>0</v>
      </c>
      <c r="O28" s="86">
        <v>0.1</v>
      </c>
      <c r="P28" s="87">
        <f t="shared" si="26"/>
        <v>0</v>
      </c>
      <c r="Q28" s="86">
        <v>0.05</v>
      </c>
      <c r="R28" s="87">
        <f t="shared" si="27"/>
        <v>0</v>
      </c>
      <c r="S28" s="93">
        <f t="shared" si="28"/>
        <v>0</v>
      </c>
      <c r="T28" s="88">
        <v>0.02</v>
      </c>
      <c r="U28" s="89">
        <f t="shared" si="29"/>
        <v>0</v>
      </c>
      <c r="V28" s="88">
        <v>0.61</v>
      </c>
      <c r="W28" s="89">
        <f t="shared" si="34"/>
        <v>0</v>
      </c>
      <c r="X28" s="93">
        <f t="shared" si="30"/>
        <v>0</v>
      </c>
      <c r="Y28" s="88">
        <v>0</v>
      </c>
      <c r="Z28" s="89">
        <f t="shared" si="17"/>
        <v>0</v>
      </c>
      <c r="AA28" s="93">
        <f t="shared" si="31"/>
        <v>0</v>
      </c>
      <c r="AB28" s="81">
        <f t="shared" si="32"/>
        <v>0</v>
      </c>
      <c r="AC28" s="82">
        <f t="shared" si="33"/>
        <v>1</v>
      </c>
      <c r="AD28" s="159">
        <f t="shared" si="18"/>
        <v>0</v>
      </c>
    </row>
    <row r="29" spans="1:30" x14ac:dyDescent="0.25">
      <c r="A29" s="46" t="s">
        <v>108</v>
      </c>
      <c r="B29" s="90"/>
      <c r="C29" s="91">
        <v>0.1</v>
      </c>
      <c r="D29" s="85">
        <f t="shared" si="19"/>
        <v>0</v>
      </c>
      <c r="E29" s="122">
        <v>0.05</v>
      </c>
      <c r="F29" s="123">
        <f t="shared" si="20"/>
        <v>0</v>
      </c>
      <c r="G29" s="122">
        <v>0.05</v>
      </c>
      <c r="H29" s="123">
        <f t="shared" si="21"/>
        <v>0</v>
      </c>
      <c r="I29" s="122">
        <v>0.01</v>
      </c>
      <c r="J29" s="123">
        <f t="shared" si="22"/>
        <v>0</v>
      </c>
      <c r="K29" s="93">
        <f t="shared" si="23"/>
        <v>0</v>
      </c>
      <c r="L29" s="86">
        <v>0</v>
      </c>
      <c r="M29" s="87">
        <f t="shared" si="24"/>
        <v>0</v>
      </c>
      <c r="N29" s="93">
        <f t="shared" si="25"/>
        <v>0</v>
      </c>
      <c r="O29" s="86">
        <v>0.02</v>
      </c>
      <c r="P29" s="87">
        <f t="shared" si="26"/>
        <v>0</v>
      </c>
      <c r="Q29" s="86">
        <v>0.25</v>
      </c>
      <c r="R29" s="87">
        <f t="shared" si="27"/>
        <v>0</v>
      </c>
      <c r="S29" s="93">
        <f t="shared" si="28"/>
        <v>0</v>
      </c>
      <c r="T29" s="88">
        <v>0.02</v>
      </c>
      <c r="U29" s="89">
        <f t="shared" si="29"/>
        <v>0</v>
      </c>
      <c r="V29" s="88">
        <v>0.5</v>
      </c>
      <c r="W29" s="89">
        <f t="shared" si="34"/>
        <v>0</v>
      </c>
      <c r="X29" s="93">
        <f t="shared" si="30"/>
        <v>0</v>
      </c>
      <c r="Y29" s="88">
        <v>0</v>
      </c>
      <c r="Z29" s="89">
        <f t="shared" si="17"/>
        <v>0</v>
      </c>
      <c r="AA29" s="93">
        <f t="shared" si="31"/>
        <v>0</v>
      </c>
      <c r="AB29" s="81">
        <f t="shared" si="32"/>
        <v>0</v>
      </c>
      <c r="AC29" s="82">
        <f t="shared" si="33"/>
        <v>1</v>
      </c>
      <c r="AD29" s="159">
        <f t="shared" si="18"/>
        <v>0</v>
      </c>
    </row>
    <row r="30" spans="1:30" x14ac:dyDescent="0.25">
      <c r="A30" s="46" t="s">
        <v>155</v>
      </c>
      <c r="B30" s="90">
        <v>15000</v>
      </c>
      <c r="C30" s="91">
        <v>0.1</v>
      </c>
      <c r="D30" s="85">
        <f t="shared" si="19"/>
        <v>1500</v>
      </c>
      <c r="E30" s="122">
        <v>0</v>
      </c>
      <c r="F30" s="123">
        <f t="shared" si="20"/>
        <v>0</v>
      </c>
      <c r="G30" s="122">
        <v>0</v>
      </c>
      <c r="H30" s="123">
        <f t="shared" si="21"/>
        <v>0</v>
      </c>
      <c r="I30" s="122">
        <v>0</v>
      </c>
      <c r="J30" s="123">
        <f t="shared" si="22"/>
        <v>0</v>
      </c>
      <c r="K30" s="93">
        <f t="shared" si="23"/>
        <v>0</v>
      </c>
      <c r="L30" s="86">
        <v>0.1</v>
      </c>
      <c r="M30" s="87">
        <f t="shared" si="24"/>
        <v>1500</v>
      </c>
      <c r="N30" s="93">
        <f t="shared" si="25"/>
        <v>1500</v>
      </c>
      <c r="O30" s="86">
        <v>0.1</v>
      </c>
      <c r="P30" s="87">
        <f t="shared" si="26"/>
        <v>1500</v>
      </c>
      <c r="Q30" s="86">
        <v>0.28000000000000003</v>
      </c>
      <c r="R30" s="87">
        <f t="shared" si="27"/>
        <v>4200</v>
      </c>
      <c r="S30" s="93">
        <f t="shared" si="28"/>
        <v>5700</v>
      </c>
      <c r="T30" s="88">
        <v>0.02</v>
      </c>
      <c r="U30" s="89">
        <f t="shared" si="29"/>
        <v>300</v>
      </c>
      <c r="V30" s="88">
        <v>0.4</v>
      </c>
      <c r="W30" s="89">
        <f t="shared" si="34"/>
        <v>6000</v>
      </c>
      <c r="X30" s="93">
        <f t="shared" si="30"/>
        <v>6300</v>
      </c>
      <c r="Y30" s="88">
        <v>0</v>
      </c>
      <c r="Z30" s="89">
        <f t="shared" si="17"/>
        <v>0</v>
      </c>
      <c r="AA30" s="93">
        <f t="shared" si="31"/>
        <v>0</v>
      </c>
      <c r="AB30" s="81">
        <f t="shared" si="32"/>
        <v>0</v>
      </c>
      <c r="AC30" s="82">
        <f t="shared" si="33"/>
        <v>1</v>
      </c>
      <c r="AD30" s="159">
        <f t="shared" si="18"/>
        <v>5700</v>
      </c>
    </row>
    <row r="31" spans="1:30" x14ac:dyDescent="0.25">
      <c r="A31" s="46" t="s">
        <v>115</v>
      </c>
      <c r="B31" s="90"/>
      <c r="C31" s="91">
        <v>0.1</v>
      </c>
      <c r="D31" s="85">
        <f t="shared" si="19"/>
        <v>0</v>
      </c>
      <c r="E31" s="122">
        <v>0</v>
      </c>
      <c r="F31" s="123">
        <f t="shared" si="20"/>
        <v>0</v>
      </c>
      <c r="G31" s="122">
        <v>0</v>
      </c>
      <c r="H31" s="123">
        <f t="shared" si="21"/>
        <v>0</v>
      </c>
      <c r="I31" s="122">
        <v>0</v>
      </c>
      <c r="J31" s="123">
        <f t="shared" si="22"/>
        <v>0</v>
      </c>
      <c r="K31" s="93">
        <f t="shared" si="23"/>
        <v>0</v>
      </c>
      <c r="L31" s="86">
        <v>0.01</v>
      </c>
      <c r="M31" s="87">
        <f t="shared" si="24"/>
        <v>0</v>
      </c>
      <c r="N31" s="93">
        <f t="shared" si="25"/>
        <v>0</v>
      </c>
      <c r="O31" s="86">
        <v>0.1</v>
      </c>
      <c r="P31" s="87">
        <f t="shared" si="26"/>
        <v>0</v>
      </c>
      <c r="Q31" s="86">
        <v>0.2</v>
      </c>
      <c r="R31" s="87">
        <f t="shared" si="27"/>
        <v>0</v>
      </c>
      <c r="S31" s="93">
        <f t="shared" si="28"/>
        <v>0</v>
      </c>
      <c r="T31" s="88">
        <v>0.05</v>
      </c>
      <c r="U31" s="89">
        <f t="shared" si="29"/>
        <v>0</v>
      </c>
      <c r="V31" s="88">
        <v>0.5</v>
      </c>
      <c r="W31" s="89">
        <f t="shared" si="34"/>
        <v>0</v>
      </c>
      <c r="X31" s="93">
        <f t="shared" si="30"/>
        <v>0</v>
      </c>
      <c r="Y31" s="88">
        <v>0.04</v>
      </c>
      <c r="Z31" s="89">
        <f t="shared" si="17"/>
        <v>0</v>
      </c>
      <c r="AA31" s="93">
        <f t="shared" si="31"/>
        <v>0</v>
      </c>
      <c r="AB31" s="81">
        <f t="shared" si="32"/>
        <v>0</v>
      </c>
      <c r="AC31" s="82">
        <f t="shared" si="33"/>
        <v>1</v>
      </c>
      <c r="AD31" s="159">
        <f t="shared" si="18"/>
        <v>0</v>
      </c>
    </row>
    <row r="32" spans="1:30" x14ac:dyDescent="0.25">
      <c r="A32" s="46" t="s">
        <v>72</v>
      </c>
      <c r="B32" s="90"/>
      <c r="C32" s="91">
        <v>0.1</v>
      </c>
      <c r="D32" s="85">
        <f t="shared" si="19"/>
        <v>0</v>
      </c>
      <c r="E32" s="122">
        <v>0</v>
      </c>
      <c r="F32" s="123">
        <f t="shared" si="20"/>
        <v>0</v>
      </c>
      <c r="G32" s="122">
        <v>0</v>
      </c>
      <c r="H32" s="123">
        <f t="shared" si="21"/>
        <v>0</v>
      </c>
      <c r="I32" s="122">
        <v>0</v>
      </c>
      <c r="J32" s="123">
        <f t="shared" si="22"/>
        <v>0</v>
      </c>
      <c r="K32" s="93">
        <f t="shared" si="23"/>
        <v>0</v>
      </c>
      <c r="L32" s="86">
        <v>0.01</v>
      </c>
      <c r="M32" s="87">
        <f t="shared" si="24"/>
        <v>0</v>
      </c>
      <c r="N32" s="93">
        <f t="shared" si="25"/>
        <v>0</v>
      </c>
      <c r="O32" s="86">
        <v>0.1</v>
      </c>
      <c r="P32" s="87">
        <f t="shared" si="26"/>
        <v>0</v>
      </c>
      <c r="Q32" s="86">
        <v>0.2</v>
      </c>
      <c r="R32" s="87">
        <f t="shared" si="27"/>
        <v>0</v>
      </c>
      <c r="S32" s="93">
        <f t="shared" si="28"/>
        <v>0</v>
      </c>
      <c r="T32" s="88">
        <v>0.05</v>
      </c>
      <c r="U32" s="89">
        <f t="shared" si="29"/>
        <v>0</v>
      </c>
      <c r="V32" s="88">
        <v>0.3</v>
      </c>
      <c r="W32" s="89">
        <f t="shared" si="34"/>
        <v>0</v>
      </c>
      <c r="X32" s="93">
        <f t="shared" si="30"/>
        <v>0</v>
      </c>
      <c r="Y32" s="88">
        <v>0.24</v>
      </c>
      <c r="Z32" s="89">
        <f t="shared" si="17"/>
        <v>0</v>
      </c>
      <c r="AA32" s="93">
        <f t="shared" si="31"/>
        <v>0</v>
      </c>
      <c r="AB32" s="81">
        <f t="shared" si="32"/>
        <v>0</v>
      </c>
      <c r="AC32" s="82">
        <f t="shared" si="33"/>
        <v>1</v>
      </c>
      <c r="AD32" s="159">
        <f t="shared" si="18"/>
        <v>0</v>
      </c>
    </row>
    <row r="33" spans="1:30" x14ac:dyDescent="0.25">
      <c r="A33" s="46" t="s">
        <v>52</v>
      </c>
      <c r="B33" s="90"/>
      <c r="C33" s="91">
        <v>0.1</v>
      </c>
      <c r="D33" s="85">
        <f t="shared" si="19"/>
        <v>0</v>
      </c>
      <c r="E33" s="122">
        <v>0</v>
      </c>
      <c r="F33" s="123">
        <f t="shared" si="20"/>
        <v>0</v>
      </c>
      <c r="G33" s="122">
        <v>0</v>
      </c>
      <c r="H33" s="123">
        <f t="shared" si="21"/>
        <v>0</v>
      </c>
      <c r="I33" s="122">
        <v>0</v>
      </c>
      <c r="J33" s="123">
        <f t="shared" si="22"/>
        <v>0</v>
      </c>
      <c r="K33" s="93">
        <f t="shared" si="23"/>
        <v>0</v>
      </c>
      <c r="L33" s="86">
        <v>0.01</v>
      </c>
      <c r="M33" s="87">
        <f t="shared" si="24"/>
        <v>0</v>
      </c>
      <c r="N33" s="93">
        <f t="shared" si="25"/>
        <v>0</v>
      </c>
      <c r="O33" s="86">
        <v>0.1</v>
      </c>
      <c r="P33" s="87">
        <f t="shared" si="26"/>
        <v>0</v>
      </c>
      <c r="Q33" s="86">
        <v>0.2</v>
      </c>
      <c r="R33" s="87">
        <f t="shared" si="27"/>
        <v>0</v>
      </c>
      <c r="S33" s="93">
        <f t="shared" si="28"/>
        <v>0</v>
      </c>
      <c r="T33" s="88">
        <v>0.05</v>
      </c>
      <c r="U33" s="89">
        <f t="shared" si="29"/>
        <v>0</v>
      </c>
      <c r="V33" s="88">
        <v>0.54</v>
      </c>
      <c r="W33" s="89">
        <f t="shared" si="34"/>
        <v>0</v>
      </c>
      <c r="X33" s="93">
        <f t="shared" si="30"/>
        <v>0</v>
      </c>
      <c r="Y33" s="88">
        <v>0</v>
      </c>
      <c r="Z33" s="89">
        <f t="shared" si="17"/>
        <v>0</v>
      </c>
      <c r="AA33" s="93">
        <f t="shared" si="31"/>
        <v>0</v>
      </c>
      <c r="AB33" s="81">
        <f t="shared" si="32"/>
        <v>0</v>
      </c>
      <c r="AC33" s="82">
        <f t="shared" si="33"/>
        <v>1</v>
      </c>
      <c r="AD33" s="159">
        <f t="shared" si="18"/>
        <v>0</v>
      </c>
    </row>
    <row r="34" spans="1:30" x14ac:dyDescent="0.25">
      <c r="A34" s="46" t="s">
        <v>189</v>
      </c>
      <c r="B34" s="90"/>
      <c r="C34" s="91">
        <v>0.1</v>
      </c>
      <c r="D34" s="85">
        <f t="shared" si="19"/>
        <v>0</v>
      </c>
      <c r="E34" s="122">
        <v>0</v>
      </c>
      <c r="F34" s="123">
        <f t="shared" si="20"/>
        <v>0</v>
      </c>
      <c r="G34" s="122">
        <v>0</v>
      </c>
      <c r="H34" s="123">
        <f t="shared" si="21"/>
        <v>0</v>
      </c>
      <c r="I34" s="122">
        <v>0</v>
      </c>
      <c r="J34" s="123">
        <f t="shared" si="22"/>
        <v>0</v>
      </c>
      <c r="K34" s="93">
        <f t="shared" si="23"/>
        <v>0</v>
      </c>
      <c r="L34" s="86">
        <v>0.01</v>
      </c>
      <c r="M34" s="87">
        <f t="shared" si="24"/>
        <v>0</v>
      </c>
      <c r="N34" s="93">
        <f t="shared" si="25"/>
        <v>0</v>
      </c>
      <c r="O34" s="86">
        <v>0.1</v>
      </c>
      <c r="P34" s="87">
        <f t="shared" si="26"/>
        <v>0</v>
      </c>
      <c r="Q34" s="86">
        <v>0.2</v>
      </c>
      <c r="R34" s="87">
        <f t="shared" si="27"/>
        <v>0</v>
      </c>
      <c r="S34" s="93">
        <f t="shared" si="28"/>
        <v>0</v>
      </c>
      <c r="T34" s="88">
        <v>0.05</v>
      </c>
      <c r="U34" s="89">
        <f t="shared" si="29"/>
        <v>0</v>
      </c>
      <c r="V34" s="88">
        <v>0.54</v>
      </c>
      <c r="W34" s="89">
        <f t="shared" si="34"/>
        <v>0</v>
      </c>
      <c r="X34" s="93">
        <f t="shared" si="30"/>
        <v>0</v>
      </c>
      <c r="Y34" s="88">
        <v>0</v>
      </c>
      <c r="Z34" s="89">
        <f t="shared" si="17"/>
        <v>0</v>
      </c>
      <c r="AA34" s="93">
        <f t="shared" si="31"/>
        <v>0</v>
      </c>
      <c r="AB34" s="81">
        <f t="shared" si="32"/>
        <v>0</v>
      </c>
      <c r="AC34" s="82">
        <f t="shared" si="33"/>
        <v>1</v>
      </c>
      <c r="AD34" s="159">
        <f t="shared" si="18"/>
        <v>0</v>
      </c>
    </row>
    <row r="35" spans="1:30" x14ac:dyDescent="0.25">
      <c r="A35" s="46" t="s">
        <v>190</v>
      </c>
      <c r="B35" s="90"/>
      <c r="C35" s="91">
        <v>0.1</v>
      </c>
      <c r="D35" s="85">
        <f t="shared" si="19"/>
        <v>0</v>
      </c>
      <c r="E35" s="122">
        <v>0</v>
      </c>
      <c r="F35" s="123">
        <f t="shared" si="20"/>
        <v>0</v>
      </c>
      <c r="G35" s="122">
        <v>0</v>
      </c>
      <c r="H35" s="123">
        <f t="shared" si="21"/>
        <v>0</v>
      </c>
      <c r="I35" s="122">
        <v>0</v>
      </c>
      <c r="J35" s="123">
        <f t="shared" si="22"/>
        <v>0</v>
      </c>
      <c r="K35" s="93">
        <f t="shared" si="23"/>
        <v>0</v>
      </c>
      <c r="L35" s="86">
        <v>0.01</v>
      </c>
      <c r="M35" s="87">
        <f t="shared" si="24"/>
        <v>0</v>
      </c>
      <c r="N35" s="93">
        <f t="shared" si="25"/>
        <v>0</v>
      </c>
      <c r="O35" s="86">
        <v>0.1</v>
      </c>
      <c r="P35" s="87">
        <f t="shared" si="26"/>
        <v>0</v>
      </c>
      <c r="Q35" s="86">
        <v>0.2</v>
      </c>
      <c r="R35" s="87">
        <f t="shared" si="27"/>
        <v>0</v>
      </c>
      <c r="S35" s="93">
        <f t="shared" si="28"/>
        <v>0</v>
      </c>
      <c r="T35" s="88">
        <v>0.05</v>
      </c>
      <c r="U35" s="89">
        <f t="shared" si="29"/>
        <v>0</v>
      </c>
      <c r="V35" s="88">
        <v>0.54</v>
      </c>
      <c r="W35" s="89">
        <f t="shared" si="34"/>
        <v>0</v>
      </c>
      <c r="X35" s="93">
        <f t="shared" si="30"/>
        <v>0</v>
      </c>
      <c r="Y35" s="88">
        <v>0</v>
      </c>
      <c r="Z35" s="89">
        <f t="shared" si="17"/>
        <v>0</v>
      </c>
      <c r="AA35" s="93">
        <f t="shared" si="31"/>
        <v>0</v>
      </c>
      <c r="AB35" s="81">
        <f t="shared" si="32"/>
        <v>0</v>
      </c>
      <c r="AC35" s="82">
        <f t="shared" si="33"/>
        <v>1</v>
      </c>
      <c r="AD35" s="159">
        <f t="shared" si="18"/>
        <v>0</v>
      </c>
    </row>
    <row r="36" spans="1:30" x14ac:dyDescent="0.25">
      <c r="A36" s="46" t="s">
        <v>6</v>
      </c>
      <c r="B36" s="90">
        <v>90000</v>
      </c>
      <c r="C36" s="91">
        <v>0.1</v>
      </c>
      <c r="D36" s="85">
        <f t="shared" si="19"/>
        <v>9000</v>
      </c>
      <c r="E36" s="122">
        <v>0</v>
      </c>
      <c r="F36" s="123">
        <f t="shared" si="20"/>
        <v>0</v>
      </c>
      <c r="G36" s="122">
        <v>0</v>
      </c>
      <c r="H36" s="123">
        <f t="shared" si="21"/>
        <v>0</v>
      </c>
      <c r="I36" s="122">
        <v>0</v>
      </c>
      <c r="J36" s="123">
        <f t="shared" si="22"/>
        <v>0</v>
      </c>
      <c r="K36" s="93">
        <f t="shared" si="23"/>
        <v>0</v>
      </c>
      <c r="L36" s="86">
        <v>0</v>
      </c>
      <c r="M36" s="87">
        <f t="shared" si="24"/>
        <v>0</v>
      </c>
      <c r="N36" s="93">
        <f t="shared" si="25"/>
        <v>0</v>
      </c>
      <c r="O36" s="86">
        <v>0</v>
      </c>
      <c r="P36" s="87">
        <f t="shared" si="26"/>
        <v>0</v>
      </c>
      <c r="Q36" s="86">
        <v>0</v>
      </c>
      <c r="R36" s="87">
        <f t="shared" si="27"/>
        <v>0</v>
      </c>
      <c r="S36" s="93">
        <f t="shared" si="28"/>
        <v>0</v>
      </c>
      <c r="T36" s="88">
        <v>0</v>
      </c>
      <c r="U36" s="89">
        <f t="shared" si="29"/>
        <v>0</v>
      </c>
      <c r="V36" s="88">
        <v>0.2</v>
      </c>
      <c r="W36" s="89">
        <f t="shared" si="34"/>
        <v>18000</v>
      </c>
      <c r="X36" s="93">
        <f t="shared" si="30"/>
        <v>18000</v>
      </c>
      <c r="Y36" s="88">
        <v>0.7</v>
      </c>
      <c r="Z36" s="89">
        <f t="shared" si="17"/>
        <v>62999.999999999993</v>
      </c>
      <c r="AA36" s="93">
        <f t="shared" si="31"/>
        <v>62999.999999999993</v>
      </c>
      <c r="AB36" s="81">
        <f t="shared" si="32"/>
        <v>0</v>
      </c>
      <c r="AC36" s="82">
        <f t="shared" si="33"/>
        <v>1</v>
      </c>
      <c r="AD36" s="159">
        <f t="shared" si="18"/>
        <v>62999.999999999993</v>
      </c>
    </row>
    <row r="37" spans="1:30" x14ac:dyDescent="0.25">
      <c r="A37" s="46" t="s">
        <v>191</v>
      </c>
      <c r="B37" s="90">
        <v>386173</v>
      </c>
      <c r="C37" s="91">
        <v>0.1</v>
      </c>
      <c r="D37" s="85">
        <f t="shared" si="19"/>
        <v>38617.300000000003</v>
      </c>
      <c r="E37" s="122">
        <v>0</v>
      </c>
      <c r="F37" s="123">
        <f t="shared" si="20"/>
        <v>0</v>
      </c>
      <c r="G37" s="122">
        <v>0</v>
      </c>
      <c r="H37" s="123">
        <f t="shared" si="21"/>
        <v>0</v>
      </c>
      <c r="I37" s="122">
        <v>0</v>
      </c>
      <c r="J37" s="123">
        <f t="shared" si="22"/>
        <v>0</v>
      </c>
      <c r="K37" s="93">
        <f t="shared" si="23"/>
        <v>0</v>
      </c>
      <c r="L37" s="86">
        <v>0.01</v>
      </c>
      <c r="M37" s="87">
        <f t="shared" si="24"/>
        <v>3861.73</v>
      </c>
      <c r="N37" s="93">
        <f t="shared" si="25"/>
        <v>3861.73</v>
      </c>
      <c r="O37" s="86">
        <v>0.05</v>
      </c>
      <c r="P37" s="87">
        <f t="shared" si="26"/>
        <v>19308.650000000001</v>
      </c>
      <c r="Q37" s="86">
        <v>0.1</v>
      </c>
      <c r="R37" s="87">
        <f t="shared" si="27"/>
        <v>38617.300000000003</v>
      </c>
      <c r="S37" s="93">
        <f t="shared" si="28"/>
        <v>57925.950000000004</v>
      </c>
      <c r="T37" s="88">
        <v>0.02</v>
      </c>
      <c r="U37" s="89">
        <f t="shared" si="29"/>
        <v>7723.46</v>
      </c>
      <c r="V37" s="88">
        <v>0.4</v>
      </c>
      <c r="W37" s="89">
        <f t="shared" si="34"/>
        <v>154469.20000000001</v>
      </c>
      <c r="X37" s="93">
        <f t="shared" si="30"/>
        <v>162192.66</v>
      </c>
      <c r="Y37" s="88">
        <v>0.32</v>
      </c>
      <c r="Z37" s="89">
        <f t="shared" si="17"/>
        <v>123575.36</v>
      </c>
      <c r="AA37" s="93">
        <f t="shared" si="31"/>
        <v>123575.36</v>
      </c>
      <c r="AB37" s="81">
        <f t="shared" si="32"/>
        <v>0</v>
      </c>
      <c r="AC37" s="82">
        <f t="shared" si="33"/>
        <v>1</v>
      </c>
      <c r="AD37" s="159">
        <f t="shared" si="18"/>
        <v>181501.31</v>
      </c>
    </row>
    <row r="38" spans="1:30" x14ac:dyDescent="0.25">
      <c r="A38" s="46" t="s">
        <v>269</v>
      </c>
      <c r="B38" s="90">
        <f>79000+222994</f>
        <v>301994</v>
      </c>
      <c r="C38" s="91">
        <v>0</v>
      </c>
      <c r="D38" s="85">
        <f t="shared" si="19"/>
        <v>0</v>
      </c>
      <c r="E38" s="122">
        <v>0</v>
      </c>
      <c r="F38" s="123">
        <f t="shared" si="20"/>
        <v>0</v>
      </c>
      <c r="G38" s="122">
        <v>0</v>
      </c>
      <c r="H38" s="123">
        <f t="shared" si="21"/>
        <v>0</v>
      </c>
      <c r="I38" s="122">
        <v>0</v>
      </c>
      <c r="J38" s="123">
        <f t="shared" si="22"/>
        <v>0</v>
      </c>
      <c r="K38" s="93">
        <f t="shared" si="23"/>
        <v>0</v>
      </c>
      <c r="L38" s="86">
        <v>0</v>
      </c>
      <c r="M38" s="87">
        <f t="shared" si="24"/>
        <v>0</v>
      </c>
      <c r="N38" s="93">
        <f t="shared" si="25"/>
        <v>0</v>
      </c>
      <c r="O38" s="86">
        <v>0</v>
      </c>
      <c r="P38" s="87">
        <f t="shared" si="26"/>
        <v>0</v>
      </c>
      <c r="Q38" s="86">
        <v>1</v>
      </c>
      <c r="R38" s="87">
        <f t="shared" si="27"/>
        <v>301994</v>
      </c>
      <c r="S38" s="93">
        <f t="shared" si="28"/>
        <v>301994</v>
      </c>
      <c r="T38" s="88">
        <v>0</v>
      </c>
      <c r="U38" s="89">
        <f t="shared" si="29"/>
        <v>0</v>
      </c>
      <c r="V38" s="88">
        <v>0</v>
      </c>
      <c r="W38" s="89">
        <f t="shared" si="34"/>
        <v>0</v>
      </c>
      <c r="X38" s="93">
        <f t="shared" si="30"/>
        <v>0</v>
      </c>
      <c r="Y38" s="88">
        <v>0</v>
      </c>
      <c r="Z38" s="89">
        <f t="shared" si="17"/>
        <v>0</v>
      </c>
      <c r="AA38" s="93">
        <f t="shared" si="31"/>
        <v>0</v>
      </c>
      <c r="AB38" s="81">
        <f t="shared" si="32"/>
        <v>0</v>
      </c>
      <c r="AC38" s="82">
        <f t="shared" si="33"/>
        <v>1</v>
      </c>
      <c r="AD38" s="159">
        <f t="shared" si="18"/>
        <v>301994</v>
      </c>
    </row>
    <row r="39" spans="1:30" x14ac:dyDescent="0.25">
      <c r="A39" s="46" t="s">
        <v>192</v>
      </c>
      <c r="B39" s="90">
        <v>799815</v>
      </c>
      <c r="C39" s="91">
        <v>0.1</v>
      </c>
      <c r="D39" s="85">
        <f t="shared" si="19"/>
        <v>79981.5</v>
      </c>
      <c r="E39" s="122">
        <v>0</v>
      </c>
      <c r="F39" s="123">
        <f t="shared" si="20"/>
        <v>0</v>
      </c>
      <c r="G39" s="122">
        <v>0</v>
      </c>
      <c r="H39" s="123">
        <f t="shared" si="21"/>
        <v>0</v>
      </c>
      <c r="I39" s="122">
        <v>0</v>
      </c>
      <c r="J39" s="123">
        <f t="shared" si="22"/>
        <v>0</v>
      </c>
      <c r="K39" s="93">
        <f t="shared" si="23"/>
        <v>0</v>
      </c>
      <c r="L39" s="86">
        <v>0.01</v>
      </c>
      <c r="M39" s="87">
        <f t="shared" si="24"/>
        <v>7998.1500000000005</v>
      </c>
      <c r="N39" s="93">
        <f t="shared" si="25"/>
        <v>7998.1500000000005</v>
      </c>
      <c r="O39" s="86">
        <v>0.1</v>
      </c>
      <c r="P39" s="87">
        <f t="shared" si="26"/>
        <v>79981.5</v>
      </c>
      <c r="Q39" s="86">
        <v>0.1</v>
      </c>
      <c r="R39" s="87">
        <f t="shared" si="27"/>
        <v>79981.5</v>
      </c>
      <c r="S39" s="93">
        <f t="shared" si="28"/>
        <v>159963</v>
      </c>
      <c r="T39" s="88">
        <v>0.1</v>
      </c>
      <c r="U39" s="89">
        <f t="shared" si="29"/>
        <v>79981.5</v>
      </c>
      <c r="V39" s="88">
        <v>0.59</v>
      </c>
      <c r="W39" s="89">
        <f t="shared" si="34"/>
        <v>471890.85</v>
      </c>
      <c r="X39" s="93">
        <f t="shared" si="30"/>
        <v>551872.35</v>
      </c>
      <c r="Y39" s="88">
        <v>0</v>
      </c>
      <c r="Z39" s="89">
        <f t="shared" si="17"/>
        <v>0</v>
      </c>
      <c r="AA39" s="93">
        <f t="shared" si="31"/>
        <v>0</v>
      </c>
      <c r="AB39" s="81">
        <f t="shared" si="32"/>
        <v>0</v>
      </c>
      <c r="AC39" s="82">
        <f t="shared" si="33"/>
        <v>1</v>
      </c>
      <c r="AD39" s="159">
        <f t="shared" si="18"/>
        <v>159963</v>
      </c>
    </row>
    <row r="40" spans="1:30" x14ac:dyDescent="0.25">
      <c r="A40" s="46" t="s">
        <v>247</v>
      </c>
      <c r="B40" s="90"/>
      <c r="C40" s="91">
        <v>0.1</v>
      </c>
      <c r="D40" s="85">
        <f t="shared" si="19"/>
        <v>0</v>
      </c>
      <c r="E40" s="122">
        <v>0</v>
      </c>
      <c r="F40" s="123">
        <f t="shared" si="20"/>
        <v>0</v>
      </c>
      <c r="G40" s="122">
        <v>0</v>
      </c>
      <c r="H40" s="123">
        <f t="shared" si="21"/>
        <v>0</v>
      </c>
      <c r="I40" s="122">
        <v>0</v>
      </c>
      <c r="J40" s="123">
        <f t="shared" si="22"/>
        <v>0</v>
      </c>
      <c r="K40" s="93">
        <f t="shared" si="23"/>
        <v>0</v>
      </c>
      <c r="L40" s="86">
        <v>0.01</v>
      </c>
      <c r="M40" s="87">
        <f t="shared" si="24"/>
        <v>0</v>
      </c>
      <c r="N40" s="93">
        <f t="shared" si="25"/>
        <v>0</v>
      </c>
      <c r="O40" s="86">
        <v>0.1</v>
      </c>
      <c r="P40" s="87">
        <f t="shared" si="26"/>
        <v>0</v>
      </c>
      <c r="Q40" s="86">
        <v>0.1</v>
      </c>
      <c r="R40" s="87">
        <f t="shared" si="27"/>
        <v>0</v>
      </c>
      <c r="S40" s="93">
        <f t="shared" si="28"/>
        <v>0</v>
      </c>
      <c r="T40" s="88">
        <v>0.1</v>
      </c>
      <c r="U40" s="89">
        <f t="shared" si="29"/>
        <v>0</v>
      </c>
      <c r="V40" s="88">
        <v>0.59</v>
      </c>
      <c r="W40" s="89">
        <f t="shared" si="34"/>
        <v>0</v>
      </c>
      <c r="X40" s="93">
        <f t="shared" si="30"/>
        <v>0</v>
      </c>
      <c r="Y40" s="88">
        <v>0</v>
      </c>
      <c r="Z40" s="89">
        <f t="shared" si="17"/>
        <v>0</v>
      </c>
      <c r="AA40" s="93">
        <f t="shared" si="31"/>
        <v>0</v>
      </c>
      <c r="AB40" s="81">
        <f t="shared" si="32"/>
        <v>0</v>
      </c>
      <c r="AC40" s="82">
        <f t="shared" si="33"/>
        <v>1</v>
      </c>
      <c r="AD40" s="159">
        <f t="shared" si="18"/>
        <v>0</v>
      </c>
    </row>
    <row r="41" spans="1:30" x14ac:dyDescent="0.25">
      <c r="A41" s="46" t="s">
        <v>48</v>
      </c>
      <c r="B41" s="90">
        <v>145000</v>
      </c>
      <c r="C41" s="91">
        <v>0.1</v>
      </c>
      <c r="D41" s="85">
        <f t="shared" si="19"/>
        <v>14500</v>
      </c>
      <c r="E41" s="122">
        <v>0</v>
      </c>
      <c r="F41" s="123">
        <f t="shared" si="20"/>
        <v>0</v>
      </c>
      <c r="G41" s="122">
        <v>0</v>
      </c>
      <c r="H41" s="123">
        <f t="shared" si="21"/>
        <v>0</v>
      </c>
      <c r="I41" s="122">
        <v>0</v>
      </c>
      <c r="J41" s="123">
        <f t="shared" si="22"/>
        <v>0</v>
      </c>
      <c r="K41" s="93">
        <f t="shared" si="23"/>
        <v>0</v>
      </c>
      <c r="L41" s="86">
        <v>0.01</v>
      </c>
      <c r="M41" s="87">
        <f t="shared" si="24"/>
        <v>1450</v>
      </c>
      <c r="N41" s="93">
        <f t="shared" si="25"/>
        <v>1450</v>
      </c>
      <c r="O41" s="86">
        <v>0.1</v>
      </c>
      <c r="P41" s="87">
        <f t="shared" si="26"/>
        <v>14500</v>
      </c>
      <c r="Q41" s="86">
        <v>0.1</v>
      </c>
      <c r="R41" s="87">
        <f t="shared" si="27"/>
        <v>14500</v>
      </c>
      <c r="S41" s="93">
        <f t="shared" si="28"/>
        <v>29000</v>
      </c>
      <c r="T41" s="88">
        <v>0.1</v>
      </c>
      <c r="U41" s="89">
        <f t="shared" si="29"/>
        <v>14500</v>
      </c>
      <c r="V41" s="88">
        <v>0.59</v>
      </c>
      <c r="W41" s="89">
        <f t="shared" si="34"/>
        <v>85550</v>
      </c>
      <c r="X41" s="93">
        <f t="shared" si="30"/>
        <v>100050</v>
      </c>
      <c r="Y41" s="88">
        <v>0</v>
      </c>
      <c r="Z41" s="89">
        <f t="shared" si="17"/>
        <v>0</v>
      </c>
      <c r="AA41" s="93">
        <f t="shared" si="31"/>
        <v>0</v>
      </c>
      <c r="AB41" s="81">
        <f t="shared" si="32"/>
        <v>0</v>
      </c>
      <c r="AC41" s="82">
        <f t="shared" si="33"/>
        <v>1</v>
      </c>
      <c r="AD41" s="159">
        <f t="shared" si="18"/>
        <v>29000</v>
      </c>
    </row>
    <row r="42" spans="1:30" x14ac:dyDescent="0.25">
      <c r="A42" s="46" t="s">
        <v>49</v>
      </c>
      <c r="B42" s="90">
        <v>12605</v>
      </c>
      <c r="C42" s="91">
        <v>0.1</v>
      </c>
      <c r="D42" s="85">
        <f t="shared" si="19"/>
        <v>1260.5</v>
      </c>
      <c r="E42" s="122">
        <v>0</v>
      </c>
      <c r="F42" s="123">
        <f t="shared" si="20"/>
        <v>0</v>
      </c>
      <c r="G42" s="122">
        <v>0</v>
      </c>
      <c r="H42" s="123">
        <f t="shared" si="21"/>
        <v>0</v>
      </c>
      <c r="I42" s="122">
        <v>0</v>
      </c>
      <c r="J42" s="123">
        <f t="shared" si="22"/>
        <v>0</v>
      </c>
      <c r="K42" s="93">
        <f t="shared" si="23"/>
        <v>0</v>
      </c>
      <c r="L42" s="86">
        <v>0.01</v>
      </c>
      <c r="M42" s="87">
        <f t="shared" si="24"/>
        <v>126.05</v>
      </c>
      <c r="N42" s="93">
        <f t="shared" si="25"/>
        <v>126.05</v>
      </c>
      <c r="O42" s="86">
        <v>0.1</v>
      </c>
      <c r="P42" s="87">
        <f t="shared" si="26"/>
        <v>1260.5</v>
      </c>
      <c r="Q42" s="86">
        <v>0.2</v>
      </c>
      <c r="R42" s="87">
        <f t="shared" si="27"/>
        <v>2521</v>
      </c>
      <c r="S42" s="93">
        <f t="shared" si="28"/>
        <v>3781.5</v>
      </c>
      <c r="T42" s="88">
        <v>0.1</v>
      </c>
      <c r="U42" s="89">
        <f t="shared" si="29"/>
        <v>1260.5</v>
      </c>
      <c r="V42" s="88">
        <v>0.49</v>
      </c>
      <c r="W42" s="89">
        <f t="shared" si="34"/>
        <v>6176.45</v>
      </c>
      <c r="X42" s="93">
        <f t="shared" si="30"/>
        <v>7436.95</v>
      </c>
      <c r="Y42" s="88">
        <v>0</v>
      </c>
      <c r="Z42" s="89">
        <f t="shared" si="17"/>
        <v>0</v>
      </c>
      <c r="AA42" s="93">
        <f t="shared" si="31"/>
        <v>0</v>
      </c>
      <c r="AB42" s="81">
        <f t="shared" si="32"/>
        <v>0</v>
      </c>
      <c r="AC42" s="82">
        <f t="shared" si="33"/>
        <v>1</v>
      </c>
      <c r="AD42" s="159">
        <f t="shared" si="18"/>
        <v>3781.5</v>
      </c>
    </row>
    <row r="43" spans="1:30" x14ac:dyDescent="0.25">
      <c r="A43" s="46" t="s">
        <v>193</v>
      </c>
      <c r="B43" s="90">
        <v>1502510</v>
      </c>
      <c r="C43" s="91">
        <v>0</v>
      </c>
      <c r="D43" s="85">
        <f t="shared" si="19"/>
        <v>0</v>
      </c>
      <c r="E43" s="122">
        <v>0</v>
      </c>
      <c r="F43" s="123">
        <f t="shared" si="20"/>
        <v>0</v>
      </c>
      <c r="G43" s="122">
        <v>0</v>
      </c>
      <c r="H43" s="123">
        <f t="shared" si="21"/>
        <v>0</v>
      </c>
      <c r="I43" s="122">
        <v>0</v>
      </c>
      <c r="J43" s="123">
        <f t="shared" si="22"/>
        <v>0</v>
      </c>
      <c r="K43" s="93">
        <f t="shared" si="23"/>
        <v>0</v>
      </c>
      <c r="L43" s="86">
        <v>0</v>
      </c>
      <c r="M43" s="87">
        <f t="shared" si="24"/>
        <v>0</v>
      </c>
      <c r="N43" s="93">
        <f t="shared" si="25"/>
        <v>0</v>
      </c>
      <c r="O43" s="86">
        <v>0</v>
      </c>
      <c r="P43" s="87">
        <f t="shared" si="26"/>
        <v>0</v>
      </c>
      <c r="Q43" s="86">
        <v>1</v>
      </c>
      <c r="R43" s="87">
        <f t="shared" si="27"/>
        <v>1502510</v>
      </c>
      <c r="S43" s="93">
        <f t="shared" si="28"/>
        <v>1502510</v>
      </c>
      <c r="T43" s="88">
        <v>0</v>
      </c>
      <c r="U43" s="89">
        <f t="shared" si="29"/>
        <v>0</v>
      </c>
      <c r="V43" s="88">
        <v>0</v>
      </c>
      <c r="W43" s="89">
        <f t="shared" si="34"/>
        <v>0</v>
      </c>
      <c r="X43" s="93">
        <f t="shared" si="30"/>
        <v>0</v>
      </c>
      <c r="Y43" s="88">
        <v>0</v>
      </c>
      <c r="Z43" s="89">
        <f t="shared" si="17"/>
        <v>0</v>
      </c>
      <c r="AA43" s="93">
        <f t="shared" si="31"/>
        <v>0</v>
      </c>
      <c r="AB43" s="81">
        <f t="shared" si="32"/>
        <v>0</v>
      </c>
      <c r="AC43" s="82">
        <f t="shared" si="33"/>
        <v>1</v>
      </c>
      <c r="AD43" s="159">
        <f t="shared" si="18"/>
        <v>1502510</v>
      </c>
    </row>
    <row r="44" spans="1:30" x14ac:dyDescent="0.25">
      <c r="A44" s="46" t="s">
        <v>213</v>
      </c>
      <c r="B44" s="90">
        <v>3240000</v>
      </c>
      <c r="C44" s="91">
        <v>0</v>
      </c>
      <c r="D44" s="85">
        <f t="shared" si="19"/>
        <v>0</v>
      </c>
      <c r="E44" s="122">
        <v>0</v>
      </c>
      <c r="F44" s="123">
        <f t="shared" si="20"/>
        <v>0</v>
      </c>
      <c r="G44" s="122">
        <v>0</v>
      </c>
      <c r="H44" s="123">
        <f t="shared" si="21"/>
        <v>0</v>
      </c>
      <c r="I44" s="122">
        <v>0</v>
      </c>
      <c r="J44" s="123">
        <f t="shared" si="22"/>
        <v>0</v>
      </c>
      <c r="K44" s="93">
        <f t="shared" si="23"/>
        <v>0</v>
      </c>
      <c r="L44" s="86">
        <v>1</v>
      </c>
      <c r="M44" s="87">
        <f t="shared" si="24"/>
        <v>3240000</v>
      </c>
      <c r="N44" s="93">
        <f t="shared" si="25"/>
        <v>3240000</v>
      </c>
      <c r="O44" s="86">
        <v>0</v>
      </c>
      <c r="P44" s="87">
        <f t="shared" si="26"/>
        <v>0</v>
      </c>
      <c r="Q44" s="86">
        <v>0</v>
      </c>
      <c r="R44" s="87">
        <f t="shared" si="27"/>
        <v>0</v>
      </c>
      <c r="S44" s="93">
        <f t="shared" si="28"/>
        <v>0</v>
      </c>
      <c r="T44" s="88">
        <v>0</v>
      </c>
      <c r="U44" s="89">
        <f t="shared" si="29"/>
        <v>0</v>
      </c>
      <c r="V44" s="88">
        <v>0</v>
      </c>
      <c r="W44" s="89">
        <f t="shared" si="34"/>
        <v>0</v>
      </c>
      <c r="X44" s="93">
        <f t="shared" si="30"/>
        <v>0</v>
      </c>
      <c r="Y44" s="88">
        <v>0</v>
      </c>
      <c r="Z44" s="89">
        <f t="shared" si="17"/>
        <v>0</v>
      </c>
      <c r="AA44" s="93">
        <f t="shared" si="31"/>
        <v>0</v>
      </c>
      <c r="AB44" s="81">
        <f t="shared" si="32"/>
        <v>0</v>
      </c>
      <c r="AC44" s="82">
        <f t="shared" si="33"/>
        <v>1</v>
      </c>
      <c r="AD44" s="159">
        <f t="shared" si="18"/>
        <v>0</v>
      </c>
    </row>
    <row r="45" spans="1:30" x14ac:dyDescent="0.25">
      <c r="A45" s="46" t="s">
        <v>264</v>
      </c>
      <c r="B45" s="90">
        <f>1308000+10557000</f>
        <v>11865000</v>
      </c>
      <c r="C45" s="91">
        <v>0</v>
      </c>
      <c r="D45" s="85">
        <f t="shared" si="19"/>
        <v>0</v>
      </c>
      <c r="E45" s="122">
        <v>0</v>
      </c>
      <c r="F45" s="123">
        <f t="shared" si="20"/>
        <v>0</v>
      </c>
      <c r="G45" s="122">
        <v>0</v>
      </c>
      <c r="H45" s="123">
        <f t="shared" si="21"/>
        <v>0</v>
      </c>
      <c r="I45" s="122">
        <v>0</v>
      </c>
      <c r="J45" s="123">
        <f t="shared" si="22"/>
        <v>0</v>
      </c>
      <c r="K45" s="93">
        <f t="shared" si="23"/>
        <v>0</v>
      </c>
      <c r="L45" s="86">
        <v>1</v>
      </c>
      <c r="M45" s="87">
        <f t="shared" si="24"/>
        <v>11865000</v>
      </c>
      <c r="N45" s="93">
        <f t="shared" si="25"/>
        <v>11865000</v>
      </c>
      <c r="O45" s="86">
        <v>0</v>
      </c>
      <c r="P45" s="87">
        <f t="shared" si="26"/>
        <v>0</v>
      </c>
      <c r="Q45" s="86">
        <v>0</v>
      </c>
      <c r="R45" s="87">
        <f t="shared" si="27"/>
        <v>0</v>
      </c>
      <c r="S45" s="93">
        <f t="shared" si="28"/>
        <v>0</v>
      </c>
      <c r="T45" s="88">
        <v>0</v>
      </c>
      <c r="U45" s="89">
        <f t="shared" si="29"/>
        <v>0</v>
      </c>
      <c r="V45" s="88">
        <v>0</v>
      </c>
      <c r="W45" s="89">
        <f t="shared" si="34"/>
        <v>0</v>
      </c>
      <c r="X45" s="93">
        <f t="shared" si="30"/>
        <v>0</v>
      </c>
      <c r="Y45" s="88">
        <v>0</v>
      </c>
      <c r="Z45" s="89">
        <f t="shared" si="17"/>
        <v>0</v>
      </c>
      <c r="AA45" s="93">
        <f t="shared" si="31"/>
        <v>0</v>
      </c>
      <c r="AB45" s="81">
        <f t="shared" si="32"/>
        <v>0</v>
      </c>
      <c r="AC45" s="82">
        <f t="shared" si="33"/>
        <v>1</v>
      </c>
      <c r="AD45" s="159">
        <f t="shared" si="18"/>
        <v>0</v>
      </c>
    </row>
    <row r="46" spans="1:30" x14ac:dyDescent="0.25">
      <c r="A46" s="46" t="s">
        <v>278</v>
      </c>
      <c r="B46" s="90"/>
      <c r="C46" s="91">
        <v>0</v>
      </c>
      <c r="D46" s="85">
        <f t="shared" si="19"/>
        <v>0</v>
      </c>
      <c r="E46" s="122">
        <v>0</v>
      </c>
      <c r="F46" s="123">
        <f t="shared" si="20"/>
        <v>0</v>
      </c>
      <c r="G46" s="122">
        <v>0</v>
      </c>
      <c r="H46" s="123">
        <f t="shared" si="21"/>
        <v>0</v>
      </c>
      <c r="I46" s="122">
        <v>0</v>
      </c>
      <c r="J46" s="123">
        <f t="shared" si="22"/>
        <v>0</v>
      </c>
      <c r="K46" s="93">
        <f t="shared" si="23"/>
        <v>0</v>
      </c>
      <c r="L46" s="86">
        <v>0</v>
      </c>
      <c r="M46" s="87">
        <f t="shared" si="24"/>
        <v>0</v>
      </c>
      <c r="N46" s="93">
        <f t="shared" si="25"/>
        <v>0</v>
      </c>
      <c r="O46" s="86">
        <v>0</v>
      </c>
      <c r="P46" s="87">
        <f t="shared" si="26"/>
        <v>0</v>
      </c>
      <c r="Q46" s="86">
        <v>0</v>
      </c>
      <c r="R46" s="87">
        <f t="shared" si="27"/>
        <v>0</v>
      </c>
      <c r="S46" s="93">
        <f t="shared" si="28"/>
        <v>0</v>
      </c>
      <c r="T46" s="88">
        <v>0</v>
      </c>
      <c r="U46" s="89">
        <f t="shared" si="29"/>
        <v>0</v>
      </c>
      <c r="V46" s="88">
        <v>0</v>
      </c>
      <c r="W46" s="89">
        <f t="shared" si="34"/>
        <v>0</v>
      </c>
      <c r="X46" s="93">
        <f t="shared" si="30"/>
        <v>0</v>
      </c>
      <c r="Y46" s="88">
        <v>1</v>
      </c>
      <c r="Z46" s="89">
        <f t="shared" si="17"/>
        <v>0</v>
      </c>
      <c r="AA46" s="93">
        <f t="shared" si="31"/>
        <v>0</v>
      </c>
      <c r="AB46" s="81">
        <f t="shared" si="32"/>
        <v>0</v>
      </c>
      <c r="AC46" s="82">
        <f t="shared" si="33"/>
        <v>1</v>
      </c>
      <c r="AD46" s="159">
        <f t="shared" si="18"/>
        <v>0</v>
      </c>
    </row>
    <row r="47" spans="1:30" x14ac:dyDescent="0.25">
      <c r="A47" s="46" t="s">
        <v>279</v>
      </c>
      <c r="B47" s="90"/>
      <c r="C47" s="91">
        <v>0</v>
      </c>
      <c r="D47" s="85">
        <f t="shared" si="19"/>
        <v>0</v>
      </c>
      <c r="E47" s="122">
        <v>0</v>
      </c>
      <c r="F47" s="123">
        <f t="shared" si="20"/>
        <v>0</v>
      </c>
      <c r="G47" s="122">
        <v>0</v>
      </c>
      <c r="H47" s="123">
        <f t="shared" si="21"/>
        <v>0</v>
      </c>
      <c r="I47" s="122">
        <v>0</v>
      </c>
      <c r="J47" s="123">
        <f t="shared" si="22"/>
        <v>0</v>
      </c>
      <c r="K47" s="93">
        <f t="shared" si="23"/>
        <v>0</v>
      </c>
      <c r="L47" s="86">
        <v>0</v>
      </c>
      <c r="M47" s="87">
        <f t="shared" si="24"/>
        <v>0</v>
      </c>
      <c r="N47" s="93">
        <f t="shared" si="25"/>
        <v>0</v>
      </c>
      <c r="O47" s="86">
        <v>0</v>
      </c>
      <c r="P47" s="87">
        <f t="shared" si="26"/>
        <v>0</v>
      </c>
      <c r="Q47" s="86">
        <v>0</v>
      </c>
      <c r="R47" s="87">
        <f t="shared" si="27"/>
        <v>0</v>
      </c>
      <c r="S47" s="93">
        <f t="shared" si="28"/>
        <v>0</v>
      </c>
      <c r="T47" s="88">
        <v>0</v>
      </c>
      <c r="U47" s="89">
        <v>0</v>
      </c>
      <c r="V47" s="88">
        <v>0</v>
      </c>
      <c r="W47" s="89">
        <f t="shared" si="34"/>
        <v>0</v>
      </c>
      <c r="X47" s="93">
        <f t="shared" si="30"/>
        <v>0</v>
      </c>
      <c r="Y47" s="88">
        <v>1</v>
      </c>
      <c r="Z47" s="89">
        <f t="shared" si="17"/>
        <v>0</v>
      </c>
      <c r="AA47" s="93">
        <f t="shared" si="31"/>
        <v>0</v>
      </c>
      <c r="AB47" s="81">
        <f t="shared" si="32"/>
        <v>0</v>
      </c>
      <c r="AC47" s="82">
        <f t="shared" si="33"/>
        <v>1</v>
      </c>
      <c r="AD47" s="159">
        <f t="shared" si="18"/>
        <v>0</v>
      </c>
    </row>
    <row r="48" spans="1:30" x14ac:dyDescent="0.25">
      <c r="A48" s="46" t="s">
        <v>232</v>
      </c>
      <c r="B48" s="90">
        <v>400000</v>
      </c>
      <c r="C48" s="91">
        <v>0</v>
      </c>
      <c r="D48" s="85">
        <f t="shared" si="19"/>
        <v>0</v>
      </c>
      <c r="E48" s="122">
        <v>0</v>
      </c>
      <c r="F48" s="123">
        <f t="shared" si="20"/>
        <v>0</v>
      </c>
      <c r="G48" s="122">
        <v>0</v>
      </c>
      <c r="H48" s="123">
        <f t="shared" si="21"/>
        <v>0</v>
      </c>
      <c r="I48" s="122">
        <v>0</v>
      </c>
      <c r="J48" s="123">
        <f t="shared" si="22"/>
        <v>0</v>
      </c>
      <c r="K48" s="93">
        <f t="shared" si="23"/>
        <v>0</v>
      </c>
      <c r="L48" s="86">
        <v>0</v>
      </c>
      <c r="M48" s="87">
        <f t="shared" si="24"/>
        <v>0</v>
      </c>
      <c r="N48" s="93">
        <f t="shared" si="25"/>
        <v>0</v>
      </c>
      <c r="O48" s="86">
        <v>0</v>
      </c>
      <c r="P48" s="87">
        <f t="shared" si="26"/>
        <v>0</v>
      </c>
      <c r="Q48" s="86">
        <v>0</v>
      </c>
      <c r="R48" s="87">
        <f t="shared" si="27"/>
        <v>0</v>
      </c>
      <c r="S48" s="93">
        <f t="shared" si="28"/>
        <v>0</v>
      </c>
      <c r="T48" s="88">
        <v>0</v>
      </c>
      <c r="U48" s="89">
        <f t="shared" si="29"/>
        <v>0</v>
      </c>
      <c r="V48" s="88">
        <v>0.5</v>
      </c>
      <c r="W48" s="89">
        <f t="shared" si="34"/>
        <v>200000</v>
      </c>
      <c r="X48" s="93">
        <f t="shared" si="30"/>
        <v>200000</v>
      </c>
      <c r="Y48" s="88">
        <v>0.5</v>
      </c>
      <c r="Z48" s="89">
        <f t="shared" si="17"/>
        <v>200000</v>
      </c>
      <c r="AA48" s="93">
        <f t="shared" si="31"/>
        <v>200000</v>
      </c>
      <c r="AB48" s="81">
        <f t="shared" si="32"/>
        <v>0</v>
      </c>
      <c r="AC48" s="82">
        <f t="shared" si="33"/>
        <v>1</v>
      </c>
      <c r="AD48" s="159">
        <f t="shared" si="18"/>
        <v>200000</v>
      </c>
    </row>
    <row r="49" spans="1:30" x14ac:dyDescent="0.25">
      <c r="A49" s="46" t="s">
        <v>70</v>
      </c>
      <c r="B49" s="90">
        <v>207100</v>
      </c>
      <c r="C49" s="91">
        <v>0.1</v>
      </c>
      <c r="D49" s="85">
        <f t="shared" si="19"/>
        <v>20710</v>
      </c>
      <c r="E49" s="122">
        <v>0</v>
      </c>
      <c r="F49" s="123">
        <f t="shared" si="20"/>
        <v>0</v>
      </c>
      <c r="G49" s="122">
        <v>0</v>
      </c>
      <c r="H49" s="123">
        <f t="shared" si="21"/>
        <v>0</v>
      </c>
      <c r="I49" s="122">
        <v>0</v>
      </c>
      <c r="J49" s="123">
        <f t="shared" si="22"/>
        <v>0</v>
      </c>
      <c r="K49" s="93">
        <f t="shared" si="23"/>
        <v>0</v>
      </c>
      <c r="L49" s="86">
        <v>0.01</v>
      </c>
      <c r="M49" s="87">
        <f t="shared" si="24"/>
        <v>2071</v>
      </c>
      <c r="N49" s="93">
        <f t="shared" si="25"/>
        <v>2071</v>
      </c>
      <c r="O49" s="86">
        <v>0.1</v>
      </c>
      <c r="P49" s="87">
        <f t="shared" si="26"/>
        <v>20710</v>
      </c>
      <c r="Q49" s="86">
        <v>0.2</v>
      </c>
      <c r="R49" s="87">
        <f t="shared" si="27"/>
        <v>41420</v>
      </c>
      <c r="S49" s="93">
        <f t="shared" si="28"/>
        <v>62130</v>
      </c>
      <c r="T49" s="88">
        <v>0.1</v>
      </c>
      <c r="U49" s="89">
        <f t="shared" si="29"/>
        <v>20710</v>
      </c>
      <c r="V49" s="88">
        <v>0.49</v>
      </c>
      <c r="W49" s="89">
        <f t="shared" si="34"/>
        <v>101479</v>
      </c>
      <c r="X49" s="93">
        <f t="shared" si="30"/>
        <v>122189</v>
      </c>
      <c r="Y49" s="88">
        <v>0</v>
      </c>
      <c r="Z49" s="89">
        <f t="shared" si="17"/>
        <v>0</v>
      </c>
      <c r="AA49" s="93">
        <f t="shared" si="31"/>
        <v>0</v>
      </c>
      <c r="AB49" s="81">
        <f t="shared" si="32"/>
        <v>0</v>
      </c>
      <c r="AC49" s="82">
        <f t="shared" si="33"/>
        <v>1</v>
      </c>
      <c r="AD49" s="159">
        <f t="shared" si="18"/>
        <v>62130</v>
      </c>
    </row>
    <row r="50" spans="1:30" x14ac:dyDescent="0.25">
      <c r="A50" s="46" t="s">
        <v>181</v>
      </c>
      <c r="B50" s="92">
        <f>SUM(B16:B49)</f>
        <v>25647403</v>
      </c>
      <c r="C50" s="44"/>
      <c r="D50" s="93">
        <f>SUM(D16:D49)</f>
        <v>682013.20000000007</v>
      </c>
      <c r="E50" s="124"/>
      <c r="F50" s="125">
        <f>SUM(F16:F49)</f>
        <v>790256.75</v>
      </c>
      <c r="G50" s="124"/>
      <c r="H50" s="125">
        <f>SUM(H16:H49)</f>
        <v>786195.85</v>
      </c>
      <c r="I50" s="124"/>
      <c r="J50" s="125">
        <f>SUM(J16:J49)</f>
        <v>67540.12</v>
      </c>
      <c r="K50" s="93">
        <f>+J50+H50+F50</f>
        <v>1643992.72</v>
      </c>
      <c r="L50" s="44"/>
      <c r="M50" s="95">
        <f>SUM(M16:M49)</f>
        <v>15142620.529999999</v>
      </c>
      <c r="N50" s="93">
        <f t="shared" si="25"/>
        <v>15142620.529999999</v>
      </c>
      <c r="O50" s="44"/>
      <c r="P50" s="95">
        <f>SUM(P16:P49)</f>
        <v>466283.75</v>
      </c>
      <c r="Q50" s="44"/>
      <c r="R50" s="95">
        <f>SUM(R16:R49)</f>
        <v>2328826.75</v>
      </c>
      <c r="S50" s="93">
        <f t="shared" si="28"/>
        <v>2795110.5</v>
      </c>
      <c r="T50" s="44"/>
      <c r="U50" s="94">
        <f>SUM(U16:U49)</f>
        <v>564490.93000000005</v>
      </c>
      <c r="V50" s="44"/>
      <c r="W50" s="94">
        <f>SUM(W16:W49)</f>
        <v>3313348.6100000008</v>
      </c>
      <c r="X50" s="93">
        <f t="shared" si="30"/>
        <v>3877839.540000001</v>
      </c>
      <c r="Y50" s="79"/>
      <c r="Z50" s="94">
        <f>SUM(Z16:Z49)</f>
        <v>1505826.51</v>
      </c>
      <c r="AA50" s="93">
        <f t="shared" si="31"/>
        <v>1505826.51</v>
      </c>
      <c r="AB50" s="81">
        <f t="shared" si="32"/>
        <v>0</v>
      </c>
      <c r="AC50" s="82">
        <f t="shared" si="33"/>
        <v>0</v>
      </c>
      <c r="AD50" s="159">
        <f>SUM(AD16:AD49)</f>
        <v>5944929.7300000004</v>
      </c>
    </row>
    <row r="53" spans="1:30" ht="30" x14ac:dyDescent="0.25">
      <c r="A53" s="71" t="s">
        <v>199</v>
      </c>
      <c r="B53" s="84" t="s">
        <v>180</v>
      </c>
      <c r="C53" s="74" t="s">
        <v>159</v>
      </c>
      <c r="D53" s="71" t="s">
        <v>176</v>
      </c>
      <c r="E53" s="106" t="s">
        <v>200</v>
      </c>
      <c r="F53" s="108" t="s">
        <v>176</v>
      </c>
      <c r="G53" s="80" t="s">
        <v>201</v>
      </c>
      <c r="H53" s="80" t="s">
        <v>202</v>
      </c>
      <c r="I53" s="99"/>
      <c r="J53" s="99"/>
      <c r="K53" s="99"/>
      <c r="L53" s="99"/>
      <c r="M53" s="99"/>
      <c r="N53" s="99"/>
      <c r="O53" s="99"/>
      <c r="P53" s="99"/>
      <c r="Q53" s="100"/>
      <c r="R53" s="100"/>
      <c r="S53" s="100"/>
      <c r="T53" s="99"/>
      <c r="U53" s="99"/>
      <c r="V53" s="100"/>
      <c r="W53" s="100"/>
      <c r="X53" s="100"/>
      <c r="Y53" s="100"/>
      <c r="Z53" s="100"/>
      <c r="AA53" s="100"/>
      <c r="AB53" s="101"/>
      <c r="AC53" s="101"/>
    </row>
    <row r="54" spans="1:30" x14ac:dyDescent="0.25">
      <c r="A54" s="46" t="s">
        <v>204</v>
      </c>
      <c r="B54" s="90">
        <v>9135808</v>
      </c>
      <c r="C54" s="91">
        <v>0.5</v>
      </c>
      <c r="D54" s="85">
        <f>+B54*C54</f>
        <v>4567904</v>
      </c>
      <c r="E54" s="107">
        <v>0.5</v>
      </c>
      <c r="F54" s="109">
        <f>+E54*B54</f>
        <v>4567904</v>
      </c>
      <c r="G54" s="110">
        <f>+C54+E54</f>
        <v>1</v>
      </c>
      <c r="H54" s="109">
        <f>+(F54+D54)-B54</f>
        <v>0</v>
      </c>
      <c r="I54" s="103"/>
      <c r="J54" s="102"/>
      <c r="K54" s="102"/>
      <c r="L54" s="103"/>
      <c r="M54" s="102"/>
      <c r="N54" s="102"/>
      <c r="O54" s="103"/>
      <c r="P54" s="102"/>
      <c r="Q54" s="103"/>
      <c r="R54" s="102"/>
      <c r="S54" s="102"/>
      <c r="T54" s="103"/>
      <c r="U54" s="102"/>
      <c r="V54" s="103"/>
      <c r="W54" s="102"/>
      <c r="X54" s="102"/>
      <c r="Y54" s="103"/>
      <c r="Z54" s="102"/>
      <c r="AA54" s="104"/>
      <c r="AB54" s="104"/>
      <c r="AC54" s="105"/>
    </row>
    <row r="55" spans="1:30" x14ac:dyDescent="0.25">
      <c r="A55" s="46" t="s">
        <v>205</v>
      </c>
      <c r="B55" s="90"/>
      <c r="C55" s="91">
        <v>0.5</v>
      </c>
      <c r="D55" s="85">
        <f t="shared" ref="D55:D61" si="35">+B55*C55</f>
        <v>0</v>
      </c>
      <c r="E55" s="107">
        <v>0.5</v>
      </c>
      <c r="F55" s="109">
        <f t="shared" ref="F55:F61" si="36">+E55*B55</f>
        <v>0</v>
      </c>
      <c r="G55" s="110">
        <f t="shared" ref="G55:G62" si="37">+C55+E55</f>
        <v>1</v>
      </c>
      <c r="H55" s="109">
        <f t="shared" ref="H55:H62" si="38">+(F55+D55)-B55</f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30" x14ac:dyDescent="0.25">
      <c r="A56" s="46" t="s">
        <v>206</v>
      </c>
      <c r="B56" s="90">
        <v>3096000</v>
      </c>
      <c r="C56" s="91">
        <v>0.5</v>
      </c>
      <c r="D56" s="85">
        <f t="shared" si="35"/>
        <v>1548000</v>
      </c>
      <c r="E56" s="107">
        <v>0.5</v>
      </c>
      <c r="F56" s="109">
        <f t="shared" si="36"/>
        <v>1548000</v>
      </c>
      <c r="G56" s="110">
        <f t="shared" si="37"/>
        <v>1</v>
      </c>
      <c r="H56" s="109">
        <f t="shared" si="38"/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30" x14ac:dyDescent="0.25">
      <c r="A57" s="46" t="s">
        <v>209</v>
      </c>
      <c r="B57" s="90">
        <f>128000+540000+133400</f>
        <v>801400</v>
      </c>
      <c r="C57" s="91">
        <v>0.5</v>
      </c>
      <c r="D57" s="85">
        <f t="shared" si="35"/>
        <v>400700</v>
      </c>
      <c r="E57" s="107">
        <v>0.5</v>
      </c>
      <c r="F57" s="109">
        <f t="shared" si="36"/>
        <v>400700</v>
      </c>
      <c r="G57" s="110">
        <f t="shared" si="37"/>
        <v>1</v>
      </c>
      <c r="H57" s="109">
        <f t="shared" si="38"/>
        <v>0</v>
      </c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30" x14ac:dyDescent="0.25">
      <c r="A58" s="46" t="s">
        <v>210</v>
      </c>
      <c r="B58" s="90"/>
      <c r="C58" s="91">
        <v>0.5</v>
      </c>
      <c r="D58" s="85">
        <f t="shared" si="35"/>
        <v>0</v>
      </c>
      <c r="E58" s="107">
        <v>0.5</v>
      </c>
      <c r="F58" s="109">
        <f t="shared" si="36"/>
        <v>0</v>
      </c>
      <c r="G58" s="110">
        <f t="shared" si="37"/>
        <v>1</v>
      </c>
      <c r="H58" s="109">
        <f t="shared" si="38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30" x14ac:dyDescent="0.25">
      <c r="A59" s="46" t="s">
        <v>207</v>
      </c>
      <c r="B59" s="90"/>
      <c r="C59" s="91">
        <v>0.5</v>
      </c>
      <c r="D59" s="85">
        <f t="shared" si="35"/>
        <v>0</v>
      </c>
      <c r="E59" s="107">
        <v>0.5</v>
      </c>
      <c r="F59" s="109">
        <f t="shared" si="36"/>
        <v>0</v>
      </c>
      <c r="G59" s="110">
        <f t="shared" si="37"/>
        <v>1</v>
      </c>
      <c r="H59" s="109">
        <f t="shared" si="38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0" spans="1:30" x14ac:dyDescent="0.25">
      <c r="A60" s="46" t="s">
        <v>208</v>
      </c>
      <c r="B60" s="90"/>
      <c r="C60" s="91">
        <v>0.5</v>
      </c>
      <c r="D60" s="85">
        <f t="shared" si="35"/>
        <v>0</v>
      </c>
      <c r="E60" s="107">
        <v>0.5</v>
      </c>
      <c r="F60" s="109">
        <f t="shared" si="36"/>
        <v>0</v>
      </c>
      <c r="G60" s="110">
        <f t="shared" si="37"/>
        <v>1</v>
      </c>
      <c r="H60" s="109">
        <f t="shared" si="38"/>
        <v>0</v>
      </c>
      <c r="I60" s="103"/>
      <c r="J60" s="102"/>
      <c r="K60" s="102"/>
      <c r="L60" s="103"/>
      <c r="M60" s="102"/>
      <c r="N60" s="102"/>
      <c r="O60" s="103"/>
      <c r="P60" s="102"/>
      <c r="Q60" s="103"/>
      <c r="R60" s="102"/>
      <c r="S60" s="102"/>
      <c r="T60" s="103"/>
      <c r="U60" s="102"/>
      <c r="V60" s="103"/>
      <c r="W60" s="102"/>
      <c r="X60" s="102"/>
      <c r="Y60" s="103"/>
      <c r="Z60" s="102"/>
      <c r="AA60" s="104"/>
      <c r="AB60" s="104"/>
      <c r="AC60" s="105"/>
    </row>
    <row r="61" spans="1:30" x14ac:dyDescent="0.25">
      <c r="A61" s="46" t="s">
        <v>70</v>
      </c>
      <c r="B61" s="90"/>
      <c r="C61" s="91">
        <v>0.5</v>
      </c>
      <c r="D61" s="85">
        <f t="shared" si="35"/>
        <v>0</v>
      </c>
      <c r="E61" s="107">
        <v>0.5</v>
      </c>
      <c r="F61" s="109">
        <f t="shared" si="36"/>
        <v>0</v>
      </c>
      <c r="G61" s="110">
        <f t="shared" si="37"/>
        <v>1</v>
      </c>
      <c r="H61" s="109">
        <f t="shared" si="38"/>
        <v>0</v>
      </c>
      <c r="I61" s="103"/>
      <c r="J61" s="102"/>
      <c r="K61" s="102"/>
      <c r="L61" s="103"/>
      <c r="M61" s="102"/>
      <c r="N61" s="102"/>
      <c r="O61" s="103"/>
      <c r="P61" s="102"/>
      <c r="Q61" s="103"/>
      <c r="R61" s="102"/>
      <c r="S61" s="102"/>
      <c r="T61" s="103"/>
      <c r="U61" s="102"/>
      <c r="V61" s="103"/>
      <c r="W61" s="102"/>
      <c r="X61" s="102"/>
      <c r="Y61" s="103"/>
      <c r="Z61" s="102"/>
      <c r="AA61" s="104"/>
      <c r="AB61" s="104"/>
      <c r="AC61" s="105"/>
    </row>
    <row r="62" spans="1:30" x14ac:dyDescent="0.25">
      <c r="A62" s="115" t="s">
        <v>203</v>
      </c>
      <c r="B62" s="111">
        <f>SUM(B54:B61)</f>
        <v>13033208</v>
      </c>
      <c r="C62" s="91"/>
      <c r="D62" s="93">
        <f>SUM(D54:D61)</f>
        <v>6516604</v>
      </c>
      <c r="E62" s="107"/>
      <c r="F62" s="112">
        <f>SUM(F54:F61)</f>
        <v>6516604</v>
      </c>
      <c r="G62" s="110">
        <f t="shared" si="37"/>
        <v>0</v>
      </c>
      <c r="H62" s="109">
        <f t="shared" si="38"/>
        <v>0</v>
      </c>
      <c r="I62" s="103"/>
      <c r="J62" s="102"/>
      <c r="K62" s="102"/>
      <c r="L62" s="103"/>
      <c r="M62" s="102"/>
      <c r="N62" s="102"/>
      <c r="O62" s="103"/>
      <c r="P62" s="102"/>
      <c r="Q62" s="103"/>
      <c r="R62" s="102"/>
      <c r="S62" s="102"/>
      <c r="T62" s="103"/>
      <c r="U62" s="102"/>
      <c r="V62" s="103"/>
      <c r="W62" s="102"/>
      <c r="X62" s="102"/>
      <c r="Y62" s="103"/>
      <c r="Z62" s="102"/>
      <c r="AA62" s="104"/>
      <c r="AB62" s="104"/>
      <c r="AC62" s="105"/>
    </row>
    <row r="64" spans="1:30" x14ac:dyDescent="0.25">
      <c r="A64" s="116" t="s">
        <v>211</v>
      </c>
      <c r="B64" s="117">
        <f>+B12+B50+B62</f>
        <v>60482881.592</v>
      </c>
    </row>
    <row r="66" spans="1:2" x14ac:dyDescent="0.25">
      <c r="A66" s="51" t="s">
        <v>10</v>
      </c>
      <c r="B66" s="52">
        <f>+D12+D50</f>
        <v>6111853.4488000004</v>
      </c>
    </row>
    <row r="67" spans="1:2" x14ac:dyDescent="0.25">
      <c r="A67" s="51" t="s">
        <v>228</v>
      </c>
      <c r="B67" s="52">
        <f>+B62+K12+K50</f>
        <v>25126428.852799997</v>
      </c>
    </row>
    <row r="68" spans="1:2" x14ac:dyDescent="0.25">
      <c r="A68" s="51" t="s">
        <v>227</v>
      </c>
      <c r="B68" s="52">
        <f>+S12+S50</f>
        <v>3894654.3553599999</v>
      </c>
    </row>
    <row r="69" spans="1:2" x14ac:dyDescent="0.25">
      <c r="A69" s="51" t="s">
        <v>212</v>
      </c>
      <c r="B69" s="52">
        <f>+AA12+AA50</f>
        <v>2900633.6667999998</v>
      </c>
    </row>
    <row r="70" spans="1:2" x14ac:dyDescent="0.25">
      <c r="A70" s="116" t="s">
        <v>211</v>
      </c>
      <c r="B70" s="117">
        <f>SUM(B66:B69)</f>
        <v>38033570.323759995</v>
      </c>
    </row>
    <row r="71" spans="1:2" hidden="1" x14ac:dyDescent="0.25">
      <c r="A71" s="113" t="s">
        <v>196</v>
      </c>
      <c r="B71" s="114">
        <f>+B64-B70</f>
        <v>22449311.268240005</v>
      </c>
    </row>
  </sheetData>
  <mergeCells count="12">
    <mergeCell ref="AB2:AC2"/>
    <mergeCell ref="E3:F3"/>
    <mergeCell ref="G3:H3"/>
    <mergeCell ref="I3:J3"/>
    <mergeCell ref="L3:M3"/>
    <mergeCell ref="O3:P3"/>
    <mergeCell ref="A1:W1"/>
    <mergeCell ref="A2:B2"/>
    <mergeCell ref="C2:D2"/>
    <mergeCell ref="E2:K2"/>
    <mergeCell ref="L2:S2"/>
    <mergeCell ref="T2:AA2"/>
  </mergeCells>
  <pageMargins left="0.7" right="0.7" top="0.75" bottom="0.75" header="0.3" footer="0.3"/>
  <legacy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3D769-64F1-44FA-85A3-0D54A3382447}">
  <dimension ref="A1:AE75"/>
  <sheetViews>
    <sheetView topLeftCell="A20" workbookViewId="0">
      <selection activeCell="J53" sqref="J53"/>
    </sheetView>
  </sheetViews>
  <sheetFormatPr baseColWidth="10" defaultRowHeight="15" x14ac:dyDescent="0.25"/>
  <cols>
    <col min="1" max="1" width="40.42578125" customWidth="1"/>
    <col min="2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4" width="14.710937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2" max="22" width="13.7109375" customWidth="1"/>
    <col min="24" max="24" width="15.42578125" customWidth="1"/>
    <col min="25" max="25" width="12.85546875" customWidth="1"/>
    <col min="26" max="26" width="12.28515625" customWidth="1"/>
    <col min="27" max="27" width="15.140625" customWidth="1"/>
  </cols>
  <sheetData>
    <row r="1" spans="1:31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1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1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33" t="s">
        <v>96</v>
      </c>
      <c r="P3" s="334"/>
      <c r="Q3" s="72" t="s">
        <v>97</v>
      </c>
      <c r="R3" s="72"/>
      <c r="S3" s="69" t="s">
        <v>304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100</v>
      </c>
      <c r="AB3" s="97"/>
      <c r="AC3" s="97"/>
    </row>
    <row r="4" spans="1:31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300</v>
      </c>
      <c r="O4" s="75" t="s">
        <v>162</v>
      </c>
      <c r="P4" s="75" t="s">
        <v>176</v>
      </c>
      <c r="Q4" s="76" t="s">
        <v>163</v>
      </c>
      <c r="R4" s="76" t="s">
        <v>176</v>
      </c>
      <c r="S4" s="71" t="s">
        <v>171</v>
      </c>
      <c r="T4" s="77" t="s">
        <v>164</v>
      </c>
      <c r="U4" s="77" t="s">
        <v>176</v>
      </c>
      <c r="V4" s="78" t="s">
        <v>165</v>
      </c>
      <c r="W4" s="78" t="s">
        <v>176</v>
      </c>
      <c r="X4" s="71" t="s">
        <v>301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1" x14ac:dyDescent="0.25">
      <c r="A5" s="46" t="s">
        <v>67</v>
      </c>
      <c r="B5" s="90">
        <f>+' NOMINAS ENE-DIC'!I157+' NOMINAS ENE-DIC'!I167</f>
        <v>5023871.568</v>
      </c>
      <c r="C5" s="91">
        <f>+'%'!B4</f>
        <v>0.35</v>
      </c>
      <c r="D5" s="93">
        <f t="shared" ref="D5:D11" si="0">+B5*C5</f>
        <v>1758355.0488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50238.715680000001</v>
      </c>
      <c r="N5" s="93">
        <f>+M5</f>
        <v>50238.715680000001</v>
      </c>
      <c r="O5" s="86">
        <f>+'%'!G4</f>
        <v>0.02</v>
      </c>
      <c r="P5" s="87">
        <f t="shared" ref="P5:P11" si="6">+O5*B5</f>
        <v>100477.43136</v>
      </c>
      <c r="Q5" s="86">
        <f>+'%'!H4</f>
        <v>0.05</v>
      </c>
      <c r="R5" s="87">
        <f t="shared" ref="R5:R11" si="7">+Q5*B5</f>
        <v>251193.5784</v>
      </c>
      <c r="S5" s="93">
        <f>+P5+R5</f>
        <v>351671.00975999999</v>
      </c>
      <c r="T5" s="88">
        <f>+'%'!I4</f>
        <v>0.2</v>
      </c>
      <c r="U5" s="89">
        <f t="shared" ref="U5:U11" si="8">+T5*B5</f>
        <v>1004774.3136</v>
      </c>
      <c r="V5" s="88">
        <f>+'%'!J4</f>
        <v>0.27</v>
      </c>
      <c r="W5" s="89">
        <f t="shared" ref="W5:W11" si="9">+V5*B5</f>
        <v>1356445.32336</v>
      </c>
      <c r="X5" s="93">
        <f>+U5+W5</f>
        <v>2361219.6369599998</v>
      </c>
      <c r="Y5" s="88">
        <f>+'%'!K4</f>
        <v>0.1</v>
      </c>
      <c r="Z5" s="89">
        <f t="shared" ref="Z5:Z11" si="10">+Y5*B5</f>
        <v>502387.1568</v>
      </c>
      <c r="AA5" s="93">
        <f>+Z5</f>
        <v>502387.1568</v>
      </c>
      <c r="AB5" s="81">
        <f>+(D5+K5+N5+S5+X5+AA5)-B5</f>
        <v>0</v>
      </c>
      <c r="AC5" s="82">
        <f t="shared" ref="AC5:AC12" si="11">+C5+E5+G5+I5+L5+O5+Q5+T5+V5+Y5</f>
        <v>1</v>
      </c>
      <c r="AE5" s="162"/>
    </row>
    <row r="6" spans="1:31" x14ac:dyDescent="0.25">
      <c r="A6" s="46" t="s">
        <v>74</v>
      </c>
      <c r="B6" s="90">
        <f>+' NOMINAS ENE-DIC'!I159+' NOMINAS ENE-DIC'!I169</f>
        <v>3539856.912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1415942.7648</v>
      </c>
      <c r="G6" s="122">
        <f>+'%'!D5</f>
        <v>0.6</v>
      </c>
      <c r="H6" s="123">
        <f t="shared" si="2"/>
        <v>2123914.1472</v>
      </c>
      <c r="I6" s="122">
        <f>+'%'!E5</f>
        <v>0</v>
      </c>
      <c r="J6" s="123">
        <f t="shared" si="3"/>
        <v>0</v>
      </c>
      <c r="K6" s="93">
        <f t="shared" si="4"/>
        <v>3539856.912</v>
      </c>
      <c r="L6" s="86">
        <f>+'%'!F5</f>
        <v>0</v>
      </c>
      <c r="M6" s="87">
        <f t="shared" si="5"/>
        <v>0</v>
      </c>
      <c r="N6" s="93">
        <f t="shared" ref="N6:N11" si="12">+M6</f>
        <v>0</v>
      </c>
      <c r="O6" s="86">
        <f>+'%'!G5</f>
        <v>0</v>
      </c>
      <c r="P6" s="87">
        <f t="shared" si="6"/>
        <v>0</v>
      </c>
      <c r="Q6" s="86">
        <f>+'%'!H5</f>
        <v>0</v>
      </c>
      <c r="R6" s="87">
        <f t="shared" si="7"/>
        <v>0</v>
      </c>
      <c r="S6" s="93">
        <f t="shared" ref="S6:S11" si="13">+P6+R6</f>
        <v>0</v>
      </c>
      <c r="T6" s="88">
        <f>+'%'!I5</f>
        <v>0</v>
      </c>
      <c r="U6" s="89">
        <f t="shared" si="8"/>
        <v>0</v>
      </c>
      <c r="V6" s="88">
        <f>+'%'!J5</f>
        <v>0</v>
      </c>
      <c r="W6" s="89">
        <f t="shared" si="9"/>
        <v>0</v>
      </c>
      <c r="X6" s="93">
        <f t="shared" ref="X6:X11" si="14">+U6+W6</f>
        <v>0</v>
      </c>
      <c r="Y6" s="88">
        <f>+'%'!K5</f>
        <v>0</v>
      </c>
      <c r="Z6" s="89">
        <f t="shared" si="10"/>
        <v>0</v>
      </c>
      <c r="AA6" s="93">
        <f t="shared" ref="AA6:AA11" si="15">+Z6</f>
        <v>0</v>
      </c>
      <c r="AB6" s="81">
        <f t="shared" ref="AB6:AB12" si="16">+(D6+K6+N6+S6+X6+AA6)-B6</f>
        <v>0</v>
      </c>
      <c r="AC6" s="82">
        <f t="shared" si="11"/>
        <v>1</v>
      </c>
      <c r="AE6" s="162"/>
    </row>
    <row r="7" spans="1:31" x14ac:dyDescent="0.25">
      <c r="A7" s="46" t="s">
        <v>109</v>
      </c>
      <c r="B7" s="90">
        <f>+' NOMINAS ENE-DIC'!I156+' NOMINAS ENE-DIC'!I166</f>
        <v>3539856.912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884964.228</v>
      </c>
      <c r="G7" s="122">
        <f>+'%'!D7</f>
        <v>0.45</v>
      </c>
      <c r="H7" s="123">
        <f t="shared" si="2"/>
        <v>1592935.6104000001</v>
      </c>
      <c r="I7" s="122">
        <f>+'%'!E7</f>
        <v>0.2</v>
      </c>
      <c r="J7" s="123">
        <f t="shared" si="3"/>
        <v>707971.3824</v>
      </c>
      <c r="K7" s="93">
        <f t="shared" si="4"/>
        <v>3185871.2208000002</v>
      </c>
      <c r="L7" s="86">
        <f>+'%'!F7</f>
        <v>0</v>
      </c>
      <c r="M7" s="87">
        <f t="shared" si="5"/>
        <v>0</v>
      </c>
      <c r="N7" s="93">
        <f t="shared" si="12"/>
        <v>0</v>
      </c>
      <c r="O7" s="86">
        <f>+'%'!G7</f>
        <v>0</v>
      </c>
      <c r="P7" s="87">
        <f t="shared" si="6"/>
        <v>0</v>
      </c>
      <c r="Q7" s="86">
        <f>+'%'!H7</f>
        <v>0.05</v>
      </c>
      <c r="R7" s="87">
        <f t="shared" si="7"/>
        <v>176992.8456</v>
      </c>
      <c r="S7" s="93">
        <f t="shared" si="13"/>
        <v>176992.8456</v>
      </c>
      <c r="T7" s="88">
        <f>+'%'!I7</f>
        <v>0</v>
      </c>
      <c r="U7" s="89">
        <v>0</v>
      </c>
      <c r="V7" s="88">
        <f>+'%'!J7</f>
        <v>0.05</v>
      </c>
      <c r="W7" s="89">
        <f t="shared" si="9"/>
        <v>176992.8456</v>
      </c>
      <c r="X7" s="93">
        <f t="shared" si="14"/>
        <v>176992.8456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  <c r="AE7" s="162"/>
    </row>
    <row r="8" spans="1:31" x14ac:dyDescent="0.25">
      <c r="A8" s="46" t="s">
        <v>266</v>
      </c>
      <c r="B8" s="90">
        <f>+' NOMINAS ENE-DIC'!I158+' NOMINAS ENE-DIC'!I168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86">
        <v>0</v>
      </c>
      <c r="P8" s="87">
        <f t="shared" si="6"/>
        <v>0</v>
      </c>
      <c r="Q8" s="86">
        <v>0</v>
      </c>
      <c r="R8" s="87">
        <f t="shared" si="7"/>
        <v>0</v>
      </c>
      <c r="S8" s="93">
        <f t="shared" si="13"/>
        <v>0</v>
      </c>
      <c r="T8" s="88">
        <v>0</v>
      </c>
      <c r="U8" s="89">
        <v>0</v>
      </c>
      <c r="V8" s="88">
        <v>0</v>
      </c>
      <c r="W8" s="8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1" x14ac:dyDescent="0.25">
      <c r="A9" s="46" t="s">
        <v>184</v>
      </c>
      <c r="B9" s="90">
        <f>+' NOMINAS ENE-DIC'!B175</f>
        <v>4664000</v>
      </c>
      <c r="C9" s="91">
        <f>+'%'!B8</f>
        <v>0.2</v>
      </c>
      <c r="D9" s="93">
        <f t="shared" si="0"/>
        <v>932800</v>
      </c>
      <c r="E9" s="122">
        <f>+'%'!C8</f>
        <v>0.1</v>
      </c>
      <c r="F9" s="123">
        <f t="shared" si="1"/>
        <v>466400</v>
      </c>
      <c r="G9" s="122">
        <f>+'%'!D8</f>
        <v>0.3</v>
      </c>
      <c r="H9" s="123">
        <f t="shared" si="2"/>
        <v>1399200</v>
      </c>
      <c r="I9" s="122">
        <f>+'%'!E8</f>
        <v>0.1</v>
      </c>
      <c r="J9" s="123">
        <f t="shared" si="3"/>
        <v>466400</v>
      </c>
      <c r="K9" s="93">
        <f t="shared" si="4"/>
        <v>2332000</v>
      </c>
      <c r="L9" s="86">
        <f>+'%'!F8</f>
        <v>0</v>
      </c>
      <c r="M9" s="87">
        <f t="shared" si="5"/>
        <v>0</v>
      </c>
      <c r="N9" s="93">
        <f t="shared" si="12"/>
        <v>0</v>
      </c>
      <c r="O9" s="86">
        <v>0.02</v>
      </c>
      <c r="P9" s="87">
        <f t="shared" si="6"/>
        <v>93280</v>
      </c>
      <c r="Q9" s="86">
        <f>+'%'!H8</f>
        <v>0.05</v>
      </c>
      <c r="R9" s="87">
        <f t="shared" si="7"/>
        <v>233200</v>
      </c>
      <c r="S9" s="93">
        <f t="shared" si="13"/>
        <v>326480</v>
      </c>
      <c r="T9" s="88">
        <f>+'%'!I8</f>
        <v>0</v>
      </c>
      <c r="U9" s="89">
        <v>0</v>
      </c>
      <c r="V9" s="88">
        <f>+'%'!J8</f>
        <v>0.1</v>
      </c>
      <c r="W9" s="89">
        <f t="shared" si="9"/>
        <v>466400</v>
      </c>
      <c r="X9" s="93">
        <f t="shared" si="14"/>
        <v>466400</v>
      </c>
      <c r="Y9" s="88">
        <v>0.13</v>
      </c>
      <c r="Z9" s="89">
        <f t="shared" si="10"/>
        <v>606320</v>
      </c>
      <c r="AA9" s="93">
        <f t="shared" si="15"/>
        <v>606320</v>
      </c>
      <c r="AB9" s="81">
        <f t="shared" si="16"/>
        <v>0</v>
      </c>
      <c r="AC9" s="82">
        <f t="shared" si="11"/>
        <v>1</v>
      </c>
      <c r="AE9" s="162"/>
    </row>
    <row r="10" spans="1:31" x14ac:dyDescent="0.25">
      <c r="A10" s="46" t="s">
        <v>51</v>
      </c>
      <c r="B10" s="90">
        <f>+' NOMINAS ENE-DIC'!B176</f>
        <v>2000000</v>
      </c>
      <c r="C10" s="91">
        <f>+'%'!B8</f>
        <v>0.2</v>
      </c>
      <c r="D10" s="93">
        <f t="shared" si="0"/>
        <v>400000</v>
      </c>
      <c r="E10" s="122">
        <f>+'%'!C8</f>
        <v>0.1</v>
      </c>
      <c r="F10" s="123">
        <f t="shared" si="1"/>
        <v>200000</v>
      </c>
      <c r="G10" s="122">
        <f>+'%'!D8</f>
        <v>0.3</v>
      </c>
      <c r="H10" s="123">
        <f t="shared" si="2"/>
        <v>600000</v>
      </c>
      <c r="I10" s="122">
        <f>+'%'!E8</f>
        <v>0.1</v>
      </c>
      <c r="J10" s="123">
        <f t="shared" si="3"/>
        <v>200000</v>
      </c>
      <c r="K10" s="93">
        <f t="shared" si="4"/>
        <v>1000000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86">
        <v>0.02</v>
      </c>
      <c r="P10" s="87">
        <f t="shared" si="6"/>
        <v>40000</v>
      </c>
      <c r="Q10" s="86">
        <f>+'%'!H8</f>
        <v>0.05</v>
      </c>
      <c r="R10" s="87">
        <f t="shared" si="7"/>
        <v>100000</v>
      </c>
      <c r="S10" s="93">
        <f t="shared" si="13"/>
        <v>140000</v>
      </c>
      <c r="T10" s="88">
        <f>+'%'!I8</f>
        <v>0</v>
      </c>
      <c r="U10" s="89">
        <f t="shared" si="8"/>
        <v>0</v>
      </c>
      <c r="V10" s="88">
        <f>+'%'!J8</f>
        <v>0.1</v>
      </c>
      <c r="W10" s="89">
        <f t="shared" si="9"/>
        <v>200000</v>
      </c>
      <c r="X10" s="93">
        <f t="shared" si="14"/>
        <v>200000</v>
      </c>
      <c r="Y10" s="88">
        <v>0.13</v>
      </c>
      <c r="Z10" s="89">
        <f t="shared" si="10"/>
        <v>260000</v>
      </c>
      <c r="AA10" s="93">
        <f t="shared" si="15"/>
        <v>260000</v>
      </c>
      <c r="AB10" s="81">
        <f t="shared" si="16"/>
        <v>0</v>
      </c>
      <c r="AC10" s="82">
        <f t="shared" si="11"/>
        <v>1</v>
      </c>
      <c r="AE10" s="162"/>
    </row>
    <row r="11" spans="1:31" x14ac:dyDescent="0.25">
      <c r="A11" s="46" t="s">
        <v>185</v>
      </c>
      <c r="B11" s="90">
        <f>+' NOMINAS ENE-DIC'!B174</f>
        <v>1050000</v>
      </c>
      <c r="C11" s="91">
        <f>+'%'!B9</f>
        <v>0.2</v>
      </c>
      <c r="D11" s="93">
        <f t="shared" si="0"/>
        <v>210000</v>
      </c>
      <c r="E11" s="122">
        <f>+'%'!C9</f>
        <v>0.1</v>
      </c>
      <c r="F11" s="123">
        <f t="shared" si="1"/>
        <v>105000</v>
      </c>
      <c r="G11" s="122">
        <f>+'%'!D9</f>
        <v>0.2</v>
      </c>
      <c r="H11" s="123">
        <f t="shared" si="2"/>
        <v>210000</v>
      </c>
      <c r="I11" s="122">
        <f>+'%'!E9</f>
        <v>0.15</v>
      </c>
      <c r="J11" s="123">
        <f t="shared" si="3"/>
        <v>157500</v>
      </c>
      <c r="K11" s="93">
        <f t="shared" si="4"/>
        <v>472500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86">
        <v>0.02</v>
      </c>
      <c r="P11" s="87">
        <f t="shared" si="6"/>
        <v>21000</v>
      </c>
      <c r="Q11" s="86">
        <f>+'%'!H9</f>
        <v>0.1</v>
      </c>
      <c r="R11" s="87">
        <f t="shared" si="7"/>
        <v>105000</v>
      </c>
      <c r="S11" s="93">
        <f t="shared" si="13"/>
        <v>126000</v>
      </c>
      <c r="T11" s="88">
        <f>+'%'!I9</f>
        <v>0</v>
      </c>
      <c r="U11" s="89">
        <f t="shared" si="8"/>
        <v>0</v>
      </c>
      <c r="V11" s="88">
        <f>+'%'!J9</f>
        <v>0.2</v>
      </c>
      <c r="W11" s="89">
        <f t="shared" si="9"/>
        <v>210000</v>
      </c>
      <c r="X11" s="93">
        <f t="shared" si="14"/>
        <v>210000</v>
      </c>
      <c r="Y11" s="88">
        <v>0.03</v>
      </c>
      <c r="Z11" s="89">
        <f t="shared" si="10"/>
        <v>31500</v>
      </c>
      <c r="AA11" s="93">
        <f t="shared" si="15"/>
        <v>31500</v>
      </c>
      <c r="AB11" s="81">
        <f t="shared" si="16"/>
        <v>0</v>
      </c>
      <c r="AC11" s="82">
        <f t="shared" si="11"/>
        <v>1</v>
      </c>
      <c r="AE11" s="162"/>
    </row>
    <row r="12" spans="1:31" x14ac:dyDescent="0.25">
      <c r="A12" s="46" t="s">
        <v>181</v>
      </c>
      <c r="B12" s="92">
        <f>SUM(B5:B11)</f>
        <v>21982270.592</v>
      </c>
      <c r="C12" s="44"/>
      <c r="D12" s="93">
        <f>SUM(D5:D11)</f>
        <v>5465840.2488000002</v>
      </c>
      <c r="E12" s="124"/>
      <c r="F12" s="125">
        <f>SUM(F5:F11)</f>
        <v>3072306.9928000001</v>
      </c>
      <c r="G12" s="124"/>
      <c r="H12" s="125">
        <f>SUM(H5:H11)</f>
        <v>5926049.7576000001</v>
      </c>
      <c r="I12" s="124"/>
      <c r="J12" s="125">
        <f>SUM(J5:J11)</f>
        <v>1531871.3824</v>
      </c>
      <c r="K12" s="93">
        <f>SUM(K5:K11)</f>
        <v>10530228.1328</v>
      </c>
      <c r="L12" s="44"/>
      <c r="M12" s="95">
        <f>SUM(M5:M11)</f>
        <v>50238.715680000001</v>
      </c>
      <c r="N12" s="93">
        <f t="shared" ref="N12" si="17">+M12</f>
        <v>50238.715680000001</v>
      </c>
      <c r="O12" s="44"/>
      <c r="P12" s="95">
        <f>SUM(P5:P11)</f>
        <v>254757.43135999999</v>
      </c>
      <c r="Q12" s="44"/>
      <c r="R12" s="95">
        <f>SUM(R5:R11)</f>
        <v>866386.424</v>
      </c>
      <c r="S12" s="93">
        <f>SUM(S5:S11)</f>
        <v>1121143.8553599999</v>
      </c>
      <c r="T12" s="44"/>
      <c r="U12" s="94">
        <f>SUM(U5:U11)</f>
        <v>1004774.3136</v>
      </c>
      <c r="V12" s="44"/>
      <c r="W12" s="94">
        <f>SUM(W5:W11)</f>
        <v>2409838.1689599999</v>
      </c>
      <c r="X12" s="93">
        <f>SUM(X5:X11)</f>
        <v>3414612.4825599999</v>
      </c>
      <c r="Y12" s="79"/>
      <c r="Z12" s="94">
        <f>SUM(Z5:Z11)</f>
        <v>1400207.1568</v>
      </c>
      <c r="AA12" s="93">
        <f>SUM(AA5:AA11)</f>
        <v>1400207.1568</v>
      </c>
      <c r="AB12" s="81">
        <f t="shared" si="16"/>
        <v>0</v>
      </c>
      <c r="AC12" s="82">
        <f t="shared" si="11"/>
        <v>0</v>
      </c>
    </row>
    <row r="15" spans="1:31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300</v>
      </c>
      <c r="O15" s="75" t="s">
        <v>162</v>
      </c>
      <c r="P15" s="75" t="s">
        <v>176</v>
      </c>
      <c r="Q15" s="76" t="s">
        <v>163</v>
      </c>
      <c r="R15" s="76" t="s">
        <v>176</v>
      </c>
      <c r="S15" s="71" t="s">
        <v>171</v>
      </c>
      <c r="T15" s="77" t="s">
        <v>164</v>
      </c>
      <c r="U15" s="77" t="s">
        <v>176</v>
      </c>
      <c r="V15" s="78" t="s">
        <v>165</v>
      </c>
      <c r="W15" s="78" t="s">
        <v>176</v>
      </c>
      <c r="X15" s="71" t="s">
        <v>301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1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86">
        <v>0.03</v>
      </c>
      <c r="P16" s="87">
        <f>+O16*B16</f>
        <v>39340.799999999996</v>
      </c>
      <c r="Q16" s="86">
        <v>0.05</v>
      </c>
      <c r="R16" s="87">
        <f>+Q16*B16</f>
        <v>65568</v>
      </c>
      <c r="S16" s="93">
        <f>+P16+R16</f>
        <v>104908.79999999999</v>
      </c>
      <c r="T16" s="88">
        <v>0.15</v>
      </c>
      <c r="U16" s="89">
        <f>+T16*B16</f>
        <v>196704</v>
      </c>
      <c r="V16" s="88">
        <v>0.45</v>
      </c>
      <c r="W16" s="89">
        <f>+V16*B16</f>
        <v>590112</v>
      </c>
      <c r="X16" s="93">
        <f>+U16+W16</f>
        <v>786816</v>
      </c>
      <c r="Y16" s="88">
        <v>0</v>
      </c>
      <c r="Z16" s="89">
        <f t="shared" ref="Z16:Z49" si="18">+Y16*B16</f>
        <v>0</v>
      </c>
      <c r="AA16" s="93">
        <f>+Z16</f>
        <v>0</v>
      </c>
      <c r="AB16" s="81">
        <f>+(D16+K16+N16+S16+X16+AA16)-B16</f>
        <v>0</v>
      </c>
      <c r="AC16" s="82">
        <f>+C16+E16+G16+I16+L16+O16+Q16+T16+V16+Y16</f>
        <v>1</v>
      </c>
      <c r="AD16" s="159">
        <f t="shared" ref="AD16:AD49" si="19">+AA16+S16+K16</f>
        <v>380294.39999999997</v>
      </c>
    </row>
    <row r="17" spans="1:30" x14ac:dyDescent="0.25">
      <c r="A17" s="46" t="s">
        <v>81</v>
      </c>
      <c r="B17" s="90">
        <v>1000000</v>
      </c>
      <c r="C17" s="91">
        <v>0</v>
      </c>
      <c r="D17" s="85">
        <f t="shared" ref="D17:D49" si="20">+B17*C17</f>
        <v>0</v>
      </c>
      <c r="E17" s="122">
        <v>0.6</v>
      </c>
      <c r="F17" s="123">
        <f t="shared" ref="F17:F49" si="21">+B17*E17</f>
        <v>600000</v>
      </c>
      <c r="G17" s="122">
        <v>0.4</v>
      </c>
      <c r="H17" s="123">
        <f t="shared" ref="H17:H49" si="22">+B17*G17</f>
        <v>400000</v>
      </c>
      <c r="I17" s="122">
        <v>0</v>
      </c>
      <c r="J17" s="123">
        <f t="shared" ref="J17:J49" si="23">+B17*I17</f>
        <v>0</v>
      </c>
      <c r="K17" s="93">
        <f t="shared" ref="K17:K49" si="24">+F17+H17+J17</f>
        <v>1000000</v>
      </c>
      <c r="L17" s="86">
        <v>0</v>
      </c>
      <c r="M17" s="87">
        <f t="shared" ref="M17:M49" si="25">+L17*B17</f>
        <v>0</v>
      </c>
      <c r="N17" s="93">
        <f t="shared" ref="N17:N49" si="26">+M17</f>
        <v>0</v>
      </c>
      <c r="O17" s="86">
        <v>0</v>
      </c>
      <c r="P17" s="87">
        <f t="shared" ref="P17:P49" si="27">+O17*B17</f>
        <v>0</v>
      </c>
      <c r="Q17" s="86">
        <v>0</v>
      </c>
      <c r="R17" s="87">
        <f t="shared" ref="R17:R49" si="28">+Q17*B17</f>
        <v>0</v>
      </c>
      <c r="S17" s="93">
        <f t="shared" ref="S17:S49" si="29">+P17+R17</f>
        <v>0</v>
      </c>
      <c r="T17" s="88">
        <v>0</v>
      </c>
      <c r="U17" s="89">
        <f t="shared" ref="U17:U49" si="30">+T17*B17</f>
        <v>0</v>
      </c>
      <c r="V17" s="88">
        <v>0</v>
      </c>
      <c r="W17" s="89">
        <f>+V17*B17</f>
        <v>0</v>
      </c>
      <c r="X17" s="93">
        <f t="shared" ref="X17:X49" si="31">+U17+W17</f>
        <v>0</v>
      </c>
      <c r="Y17" s="88">
        <v>0</v>
      </c>
      <c r="Z17" s="89">
        <f t="shared" si="18"/>
        <v>0</v>
      </c>
      <c r="AA17" s="93">
        <f t="shared" ref="AA17:AA49" si="32">+Z17</f>
        <v>0</v>
      </c>
      <c r="AB17" s="81">
        <f t="shared" ref="AB17:AB50" si="33">+(D17+K17+N17+S17+X17+AA17)-B17</f>
        <v>0</v>
      </c>
      <c r="AC17" s="82">
        <f t="shared" ref="AC17:AC50" si="34">+C17+E17+G17+I17+L17+O17+Q17+T17+V17+Y17</f>
        <v>1</v>
      </c>
      <c r="AD17" s="159">
        <f t="shared" si="19"/>
        <v>1000000</v>
      </c>
    </row>
    <row r="18" spans="1:30" x14ac:dyDescent="0.25">
      <c r="A18" s="46" t="s">
        <v>268</v>
      </c>
      <c r="B18" s="90"/>
      <c r="C18" s="91">
        <v>0</v>
      </c>
      <c r="D18" s="85">
        <f t="shared" si="20"/>
        <v>0</v>
      </c>
      <c r="E18" s="122">
        <v>0.6</v>
      </c>
      <c r="F18" s="123">
        <f t="shared" si="21"/>
        <v>0</v>
      </c>
      <c r="G18" s="122">
        <v>0.4</v>
      </c>
      <c r="H18" s="123">
        <f t="shared" si="22"/>
        <v>0</v>
      </c>
      <c r="I18" s="122">
        <v>0</v>
      </c>
      <c r="J18" s="123">
        <f t="shared" si="23"/>
        <v>0</v>
      </c>
      <c r="K18" s="93">
        <f t="shared" si="24"/>
        <v>0</v>
      </c>
      <c r="L18" s="86">
        <v>0</v>
      </c>
      <c r="M18" s="87">
        <f t="shared" si="25"/>
        <v>0</v>
      </c>
      <c r="N18" s="93">
        <f t="shared" si="26"/>
        <v>0</v>
      </c>
      <c r="O18" s="86">
        <v>0</v>
      </c>
      <c r="P18" s="87">
        <f t="shared" si="27"/>
        <v>0</v>
      </c>
      <c r="Q18" s="86">
        <v>0</v>
      </c>
      <c r="R18" s="87">
        <f t="shared" si="28"/>
        <v>0</v>
      </c>
      <c r="S18" s="93">
        <f t="shared" si="29"/>
        <v>0</v>
      </c>
      <c r="T18" s="88">
        <v>0</v>
      </c>
      <c r="U18" s="89">
        <f t="shared" si="30"/>
        <v>0</v>
      </c>
      <c r="V18" s="88">
        <v>0</v>
      </c>
      <c r="W18" s="89">
        <f>+V18*B18</f>
        <v>0</v>
      </c>
      <c r="X18" s="93">
        <f t="shared" si="31"/>
        <v>0</v>
      </c>
      <c r="Y18" s="88">
        <v>0</v>
      </c>
      <c r="Z18" s="89">
        <f t="shared" si="18"/>
        <v>0</v>
      </c>
      <c r="AA18" s="93">
        <f t="shared" si="32"/>
        <v>0</v>
      </c>
      <c r="AB18" s="81">
        <f t="shared" si="33"/>
        <v>0</v>
      </c>
      <c r="AC18" s="82">
        <f t="shared" si="34"/>
        <v>1</v>
      </c>
      <c r="AD18" s="159">
        <f t="shared" si="19"/>
        <v>0</v>
      </c>
    </row>
    <row r="19" spans="1:30" x14ac:dyDescent="0.25">
      <c r="A19" s="46" t="s">
        <v>186</v>
      </c>
      <c r="B19" s="90">
        <v>750000</v>
      </c>
      <c r="C19" s="91">
        <v>0.1</v>
      </c>
      <c r="D19" s="85">
        <f t="shared" si="20"/>
        <v>75000</v>
      </c>
      <c r="E19" s="122">
        <v>0</v>
      </c>
      <c r="F19" s="123">
        <f t="shared" si="21"/>
        <v>0</v>
      </c>
      <c r="G19" s="122">
        <v>0</v>
      </c>
      <c r="H19" s="123">
        <f t="shared" si="22"/>
        <v>0</v>
      </c>
      <c r="I19" s="122">
        <v>0</v>
      </c>
      <c r="J19" s="123">
        <f t="shared" si="23"/>
        <v>0</v>
      </c>
      <c r="K19" s="93">
        <f t="shared" si="24"/>
        <v>0</v>
      </c>
      <c r="L19" s="86">
        <v>0.01</v>
      </c>
      <c r="M19" s="87">
        <f t="shared" si="25"/>
        <v>7500</v>
      </c>
      <c r="N19" s="93">
        <f t="shared" si="26"/>
        <v>7500</v>
      </c>
      <c r="O19" s="86">
        <v>0.2</v>
      </c>
      <c r="P19" s="87">
        <f t="shared" si="27"/>
        <v>150000</v>
      </c>
      <c r="Q19" s="86">
        <v>0.15</v>
      </c>
      <c r="R19" s="87">
        <f t="shared" si="28"/>
        <v>112500</v>
      </c>
      <c r="S19" s="93">
        <f t="shared" si="29"/>
        <v>262500</v>
      </c>
      <c r="T19" s="88">
        <v>0.2</v>
      </c>
      <c r="U19" s="89">
        <f t="shared" si="30"/>
        <v>150000</v>
      </c>
      <c r="V19" s="88">
        <v>0.24</v>
      </c>
      <c r="W19" s="89">
        <f t="shared" ref="W19:W49" si="35">+V19*B19</f>
        <v>180000</v>
      </c>
      <c r="X19" s="93">
        <f t="shared" si="31"/>
        <v>330000</v>
      </c>
      <c r="Y19" s="88">
        <v>0.1</v>
      </c>
      <c r="Z19" s="89">
        <f t="shared" si="18"/>
        <v>75000</v>
      </c>
      <c r="AA19" s="93">
        <f t="shared" si="32"/>
        <v>75000</v>
      </c>
      <c r="AB19" s="81">
        <f t="shared" si="33"/>
        <v>0</v>
      </c>
      <c r="AC19" s="82">
        <f t="shared" si="34"/>
        <v>0.99999999999999989</v>
      </c>
      <c r="AD19" s="159">
        <f t="shared" si="19"/>
        <v>337500</v>
      </c>
    </row>
    <row r="20" spans="1:30" x14ac:dyDescent="0.25">
      <c r="A20" s="46" t="s">
        <v>276</v>
      </c>
      <c r="B20" s="90">
        <v>3953130</v>
      </c>
      <c r="C20" s="91">
        <v>0</v>
      </c>
      <c r="D20" s="85">
        <f t="shared" si="20"/>
        <v>0</v>
      </c>
      <c r="E20" s="122">
        <v>0</v>
      </c>
      <c r="F20" s="123">
        <f t="shared" si="21"/>
        <v>0</v>
      </c>
      <c r="G20" s="122">
        <v>0</v>
      </c>
      <c r="H20" s="123">
        <f t="shared" si="22"/>
        <v>0</v>
      </c>
      <c r="I20" s="122">
        <v>0</v>
      </c>
      <c r="J20" s="123">
        <f t="shared" si="23"/>
        <v>0</v>
      </c>
      <c r="K20" s="93">
        <f t="shared" si="24"/>
        <v>0</v>
      </c>
      <c r="L20" s="86">
        <v>0</v>
      </c>
      <c r="M20" s="87">
        <f t="shared" si="25"/>
        <v>0</v>
      </c>
      <c r="N20" s="93">
        <f t="shared" si="26"/>
        <v>0</v>
      </c>
      <c r="O20" s="86">
        <v>0</v>
      </c>
      <c r="P20" s="87">
        <f t="shared" si="27"/>
        <v>0</v>
      </c>
      <c r="Q20" s="86">
        <v>0</v>
      </c>
      <c r="R20" s="87">
        <f t="shared" si="28"/>
        <v>0</v>
      </c>
      <c r="S20" s="93">
        <f t="shared" si="29"/>
        <v>0</v>
      </c>
      <c r="T20" s="88">
        <v>0</v>
      </c>
      <c r="U20" s="89">
        <f t="shared" si="30"/>
        <v>0</v>
      </c>
      <c r="V20" s="88">
        <v>0</v>
      </c>
      <c r="W20" s="89">
        <f t="shared" si="35"/>
        <v>0</v>
      </c>
      <c r="X20" s="93">
        <f t="shared" si="31"/>
        <v>0</v>
      </c>
      <c r="Y20" s="88">
        <v>1</v>
      </c>
      <c r="Z20" s="89">
        <f t="shared" si="18"/>
        <v>3953130</v>
      </c>
      <c r="AA20" s="93">
        <f t="shared" si="32"/>
        <v>3953130</v>
      </c>
      <c r="AB20" s="81">
        <f t="shared" si="33"/>
        <v>0</v>
      </c>
      <c r="AC20" s="82">
        <f t="shared" si="34"/>
        <v>1</v>
      </c>
      <c r="AD20" s="159">
        <f t="shared" si="19"/>
        <v>3953130</v>
      </c>
    </row>
    <row r="21" spans="1:30" x14ac:dyDescent="0.25">
      <c r="A21" s="46" t="s">
        <v>277</v>
      </c>
      <c r="B21" s="90">
        <v>80593</v>
      </c>
      <c r="C21" s="91">
        <v>0.1</v>
      </c>
      <c r="D21" s="85">
        <f t="shared" si="20"/>
        <v>8059.3</v>
      </c>
      <c r="E21" s="122">
        <v>0</v>
      </c>
      <c r="F21" s="123">
        <f t="shared" si="21"/>
        <v>0</v>
      </c>
      <c r="G21" s="122">
        <v>0</v>
      </c>
      <c r="H21" s="123">
        <f t="shared" si="22"/>
        <v>0</v>
      </c>
      <c r="I21" s="122">
        <v>0</v>
      </c>
      <c r="J21" s="123">
        <f t="shared" si="23"/>
        <v>0</v>
      </c>
      <c r="K21" s="93">
        <f t="shared" si="24"/>
        <v>0</v>
      </c>
      <c r="L21" s="86">
        <v>0</v>
      </c>
      <c r="M21" s="87">
        <f t="shared" si="25"/>
        <v>0</v>
      </c>
      <c r="N21" s="93">
        <f t="shared" si="26"/>
        <v>0</v>
      </c>
      <c r="O21" s="86">
        <v>0</v>
      </c>
      <c r="P21" s="87">
        <f t="shared" si="27"/>
        <v>0</v>
      </c>
      <c r="Q21" s="86">
        <v>0</v>
      </c>
      <c r="R21" s="87">
        <f t="shared" si="28"/>
        <v>0</v>
      </c>
      <c r="S21" s="93">
        <f t="shared" si="29"/>
        <v>0</v>
      </c>
      <c r="T21" s="88">
        <v>0.1</v>
      </c>
      <c r="U21" s="89">
        <f t="shared" si="30"/>
        <v>8059.3</v>
      </c>
      <c r="V21" s="88">
        <v>0.7</v>
      </c>
      <c r="W21" s="89">
        <f t="shared" si="35"/>
        <v>56415.1</v>
      </c>
      <c r="X21" s="93">
        <f t="shared" si="31"/>
        <v>64474.400000000001</v>
      </c>
      <c r="Y21" s="88">
        <v>0.1</v>
      </c>
      <c r="Z21" s="89">
        <f t="shared" si="18"/>
        <v>8059.3</v>
      </c>
      <c r="AA21" s="93">
        <f t="shared" si="32"/>
        <v>8059.3</v>
      </c>
      <c r="AB21" s="81">
        <f t="shared" si="33"/>
        <v>0</v>
      </c>
      <c r="AC21" s="82">
        <f t="shared" si="34"/>
        <v>0.99999999999999989</v>
      </c>
      <c r="AD21" s="159">
        <f t="shared" si="19"/>
        <v>8059.3</v>
      </c>
    </row>
    <row r="22" spans="1:30" x14ac:dyDescent="0.25">
      <c r="A22" s="46" t="s">
        <v>121</v>
      </c>
      <c r="B22" s="90"/>
      <c r="C22" s="91">
        <v>0.1</v>
      </c>
      <c r="D22" s="85">
        <f t="shared" si="20"/>
        <v>0</v>
      </c>
      <c r="E22" s="122">
        <v>0.05</v>
      </c>
      <c r="F22" s="123">
        <f t="shared" si="21"/>
        <v>0</v>
      </c>
      <c r="G22" s="122">
        <v>0.05</v>
      </c>
      <c r="H22" s="123">
        <f t="shared" si="22"/>
        <v>0</v>
      </c>
      <c r="I22" s="122">
        <v>0.01</v>
      </c>
      <c r="J22" s="123">
        <f t="shared" si="23"/>
        <v>0</v>
      </c>
      <c r="K22" s="93">
        <f t="shared" si="24"/>
        <v>0</v>
      </c>
      <c r="L22" s="86">
        <v>0</v>
      </c>
      <c r="M22" s="87">
        <f t="shared" si="25"/>
        <v>0</v>
      </c>
      <c r="N22" s="93">
        <f t="shared" si="26"/>
        <v>0</v>
      </c>
      <c r="O22" s="86">
        <v>0.05</v>
      </c>
      <c r="P22" s="87">
        <f t="shared" si="27"/>
        <v>0</v>
      </c>
      <c r="Q22" s="86">
        <v>0.05</v>
      </c>
      <c r="R22" s="87">
        <f t="shared" si="28"/>
        <v>0</v>
      </c>
      <c r="S22" s="93">
        <f t="shared" si="29"/>
        <v>0</v>
      </c>
      <c r="T22" s="88">
        <v>0</v>
      </c>
      <c r="U22" s="89">
        <f t="shared" si="30"/>
        <v>0</v>
      </c>
      <c r="V22" s="88">
        <v>0.45</v>
      </c>
      <c r="W22" s="89">
        <f t="shared" si="35"/>
        <v>0</v>
      </c>
      <c r="X22" s="93">
        <f t="shared" si="31"/>
        <v>0</v>
      </c>
      <c r="Y22" s="88">
        <v>0.24</v>
      </c>
      <c r="Z22" s="89">
        <f t="shared" si="18"/>
        <v>0</v>
      </c>
      <c r="AA22" s="93">
        <f t="shared" si="32"/>
        <v>0</v>
      </c>
      <c r="AB22" s="81">
        <f t="shared" si="33"/>
        <v>0</v>
      </c>
      <c r="AC22" s="82">
        <f t="shared" si="34"/>
        <v>1</v>
      </c>
      <c r="AD22" s="159">
        <f t="shared" si="19"/>
        <v>0</v>
      </c>
    </row>
    <row r="23" spans="1:30" x14ac:dyDescent="0.25">
      <c r="A23" s="46" t="s">
        <v>111</v>
      </c>
      <c r="B23" s="90">
        <v>517767</v>
      </c>
      <c r="C23" s="91">
        <v>0</v>
      </c>
      <c r="D23" s="85">
        <f t="shared" si="20"/>
        <v>0</v>
      </c>
      <c r="E23" s="122">
        <v>0</v>
      </c>
      <c r="F23" s="123">
        <f t="shared" si="21"/>
        <v>0</v>
      </c>
      <c r="G23" s="122">
        <v>0</v>
      </c>
      <c r="H23" s="123">
        <f t="shared" si="22"/>
        <v>0</v>
      </c>
      <c r="I23" s="122">
        <v>0</v>
      </c>
      <c r="J23" s="123">
        <f t="shared" si="23"/>
        <v>0</v>
      </c>
      <c r="K23" s="93">
        <f t="shared" si="24"/>
        <v>0</v>
      </c>
      <c r="L23" s="86">
        <v>0</v>
      </c>
      <c r="M23" s="87">
        <f t="shared" si="25"/>
        <v>0</v>
      </c>
      <c r="N23" s="93">
        <f t="shared" si="26"/>
        <v>0</v>
      </c>
      <c r="O23" s="86">
        <v>0</v>
      </c>
      <c r="P23" s="87">
        <f t="shared" si="27"/>
        <v>0</v>
      </c>
      <c r="Q23" s="86">
        <v>0</v>
      </c>
      <c r="R23" s="87">
        <f t="shared" si="28"/>
        <v>0</v>
      </c>
      <c r="S23" s="93">
        <f t="shared" si="29"/>
        <v>0</v>
      </c>
      <c r="T23" s="88">
        <v>0</v>
      </c>
      <c r="U23" s="89">
        <f t="shared" si="30"/>
        <v>0</v>
      </c>
      <c r="V23" s="88">
        <v>0</v>
      </c>
      <c r="W23" s="89">
        <f t="shared" si="35"/>
        <v>0</v>
      </c>
      <c r="X23" s="93">
        <f t="shared" si="31"/>
        <v>0</v>
      </c>
      <c r="Y23" s="88">
        <v>1</v>
      </c>
      <c r="Z23" s="89">
        <f t="shared" si="18"/>
        <v>517767</v>
      </c>
      <c r="AA23" s="93">
        <f t="shared" si="32"/>
        <v>517767</v>
      </c>
      <c r="AB23" s="81">
        <f t="shared" si="33"/>
        <v>0</v>
      </c>
      <c r="AC23" s="82">
        <f t="shared" si="34"/>
        <v>1</v>
      </c>
      <c r="AD23" s="159">
        <f t="shared" si="19"/>
        <v>517767</v>
      </c>
    </row>
    <row r="24" spans="1:30" x14ac:dyDescent="0.25">
      <c r="A24" s="46" t="s">
        <v>220</v>
      </c>
      <c r="B24" s="90">
        <f>191217+9900</f>
        <v>201117</v>
      </c>
      <c r="C24" s="91">
        <v>0.1</v>
      </c>
      <c r="D24" s="85">
        <f t="shared" si="20"/>
        <v>20111.7</v>
      </c>
      <c r="E24" s="122">
        <v>0.05</v>
      </c>
      <c r="F24" s="123">
        <f t="shared" si="21"/>
        <v>10055.85</v>
      </c>
      <c r="G24" s="122">
        <v>0.15</v>
      </c>
      <c r="H24" s="123">
        <f t="shared" si="22"/>
        <v>30167.55</v>
      </c>
      <c r="I24" s="122">
        <v>0</v>
      </c>
      <c r="J24" s="123">
        <f t="shared" si="23"/>
        <v>0</v>
      </c>
      <c r="K24" s="93">
        <f t="shared" si="24"/>
        <v>40223.4</v>
      </c>
      <c r="L24" s="86">
        <v>0</v>
      </c>
      <c r="M24" s="87">
        <f t="shared" si="25"/>
        <v>0</v>
      </c>
      <c r="N24" s="93">
        <f t="shared" si="26"/>
        <v>0</v>
      </c>
      <c r="O24" s="86">
        <v>0</v>
      </c>
      <c r="P24" s="87">
        <f t="shared" si="27"/>
        <v>0</v>
      </c>
      <c r="Q24" s="86">
        <v>0.05</v>
      </c>
      <c r="R24" s="87">
        <f t="shared" si="28"/>
        <v>10055.85</v>
      </c>
      <c r="S24" s="93">
        <f t="shared" si="29"/>
        <v>10055.85</v>
      </c>
      <c r="T24" s="88">
        <v>0.15</v>
      </c>
      <c r="U24" s="89">
        <f t="shared" si="30"/>
        <v>30167.55</v>
      </c>
      <c r="V24" s="88">
        <v>0.45</v>
      </c>
      <c r="W24" s="89">
        <f t="shared" si="35"/>
        <v>90502.650000000009</v>
      </c>
      <c r="X24" s="93">
        <f t="shared" si="31"/>
        <v>120670.20000000001</v>
      </c>
      <c r="Y24" s="88">
        <v>0.05</v>
      </c>
      <c r="Z24" s="89">
        <f t="shared" si="18"/>
        <v>10055.85</v>
      </c>
      <c r="AA24" s="93">
        <f t="shared" si="32"/>
        <v>10055.85</v>
      </c>
      <c r="AB24" s="81">
        <f t="shared" si="33"/>
        <v>0</v>
      </c>
      <c r="AC24" s="82">
        <f t="shared" si="34"/>
        <v>1</v>
      </c>
      <c r="AD24" s="159">
        <f t="shared" si="19"/>
        <v>60335.100000000006</v>
      </c>
    </row>
    <row r="25" spans="1:30" x14ac:dyDescent="0.25">
      <c r="A25" s="46" t="s">
        <v>68</v>
      </c>
      <c r="B25" s="90">
        <v>238205</v>
      </c>
      <c r="C25" s="91">
        <v>0.1</v>
      </c>
      <c r="D25" s="85">
        <f t="shared" si="20"/>
        <v>23820.5</v>
      </c>
      <c r="E25" s="122">
        <v>0.05</v>
      </c>
      <c r="F25" s="123">
        <f t="shared" si="21"/>
        <v>11910.25</v>
      </c>
      <c r="G25" s="122">
        <v>0.15</v>
      </c>
      <c r="H25" s="123">
        <f t="shared" si="22"/>
        <v>35730.75</v>
      </c>
      <c r="I25" s="122">
        <v>0</v>
      </c>
      <c r="J25" s="123">
        <f t="shared" si="23"/>
        <v>0</v>
      </c>
      <c r="K25" s="93">
        <f t="shared" si="24"/>
        <v>47641</v>
      </c>
      <c r="L25" s="86">
        <v>0</v>
      </c>
      <c r="M25" s="87">
        <f t="shared" si="25"/>
        <v>0</v>
      </c>
      <c r="N25" s="93">
        <f t="shared" si="26"/>
        <v>0</v>
      </c>
      <c r="O25" s="86">
        <v>0</v>
      </c>
      <c r="P25" s="87">
        <f t="shared" si="27"/>
        <v>0</v>
      </c>
      <c r="Q25" s="86">
        <v>0.05</v>
      </c>
      <c r="R25" s="87">
        <f t="shared" si="28"/>
        <v>11910.25</v>
      </c>
      <c r="S25" s="93">
        <f t="shared" si="29"/>
        <v>11910.25</v>
      </c>
      <c r="T25" s="88">
        <v>0.15</v>
      </c>
      <c r="U25" s="89">
        <f t="shared" si="30"/>
        <v>35730.75</v>
      </c>
      <c r="V25" s="88">
        <v>0.45</v>
      </c>
      <c r="W25" s="89">
        <f t="shared" si="35"/>
        <v>107192.25</v>
      </c>
      <c r="X25" s="93">
        <f t="shared" si="31"/>
        <v>142923</v>
      </c>
      <c r="Y25" s="88">
        <v>0.05</v>
      </c>
      <c r="Z25" s="89">
        <f t="shared" si="18"/>
        <v>11910.25</v>
      </c>
      <c r="AA25" s="93">
        <f t="shared" si="32"/>
        <v>11910.25</v>
      </c>
      <c r="AB25" s="81">
        <f t="shared" si="33"/>
        <v>0</v>
      </c>
      <c r="AC25" s="82">
        <f t="shared" si="34"/>
        <v>1</v>
      </c>
      <c r="AD25" s="159">
        <f t="shared" si="19"/>
        <v>71461.5</v>
      </c>
    </row>
    <row r="26" spans="1:30" x14ac:dyDescent="0.25">
      <c r="A26" s="46" t="s">
        <v>187</v>
      </c>
      <c r="B26" s="90"/>
      <c r="C26" s="91">
        <v>0.1</v>
      </c>
      <c r="D26" s="85">
        <f t="shared" si="20"/>
        <v>0</v>
      </c>
      <c r="E26" s="122">
        <v>0</v>
      </c>
      <c r="F26" s="123">
        <f t="shared" si="21"/>
        <v>0</v>
      </c>
      <c r="G26" s="122">
        <v>0</v>
      </c>
      <c r="H26" s="123">
        <f t="shared" si="22"/>
        <v>0</v>
      </c>
      <c r="I26" s="122">
        <v>0.1</v>
      </c>
      <c r="J26" s="123">
        <f t="shared" si="23"/>
        <v>0</v>
      </c>
      <c r="K26" s="93">
        <f t="shared" si="24"/>
        <v>0</v>
      </c>
      <c r="L26" s="86">
        <v>0</v>
      </c>
      <c r="M26" s="87">
        <f t="shared" si="25"/>
        <v>0</v>
      </c>
      <c r="N26" s="93">
        <f t="shared" si="26"/>
        <v>0</v>
      </c>
      <c r="O26" s="86">
        <v>0.05</v>
      </c>
      <c r="P26" s="87">
        <f t="shared" si="27"/>
        <v>0</v>
      </c>
      <c r="Q26" s="86">
        <v>0.1</v>
      </c>
      <c r="R26" s="87">
        <f t="shared" si="28"/>
        <v>0</v>
      </c>
      <c r="S26" s="93">
        <f t="shared" si="29"/>
        <v>0</v>
      </c>
      <c r="T26" s="88">
        <v>0.05</v>
      </c>
      <c r="U26" s="89">
        <f t="shared" si="30"/>
        <v>0</v>
      </c>
      <c r="V26" s="88">
        <v>0.6</v>
      </c>
      <c r="W26" s="89">
        <f t="shared" si="35"/>
        <v>0</v>
      </c>
      <c r="X26" s="93">
        <f t="shared" si="31"/>
        <v>0</v>
      </c>
      <c r="Y26" s="88">
        <v>0</v>
      </c>
      <c r="Z26" s="89">
        <f t="shared" si="18"/>
        <v>0</v>
      </c>
      <c r="AA26" s="93">
        <f t="shared" si="32"/>
        <v>0</v>
      </c>
      <c r="AB26" s="81">
        <f t="shared" si="33"/>
        <v>0</v>
      </c>
      <c r="AC26" s="82">
        <f t="shared" si="34"/>
        <v>1</v>
      </c>
      <c r="AD26" s="159">
        <f t="shared" si="19"/>
        <v>0</v>
      </c>
    </row>
    <row r="27" spans="1:30" x14ac:dyDescent="0.25">
      <c r="A27" s="46" t="s">
        <v>188</v>
      </c>
      <c r="B27" s="90">
        <f>478800+210524</f>
        <v>689324</v>
      </c>
      <c r="C27" s="91">
        <v>0.1</v>
      </c>
      <c r="D27" s="85">
        <f t="shared" si="20"/>
        <v>68932.400000000009</v>
      </c>
      <c r="E27" s="122">
        <v>0</v>
      </c>
      <c r="F27" s="123">
        <f t="shared" si="21"/>
        <v>0</v>
      </c>
      <c r="G27" s="122">
        <v>0.1</v>
      </c>
      <c r="H27" s="123">
        <f t="shared" si="22"/>
        <v>68932.400000000009</v>
      </c>
      <c r="I27" s="122">
        <v>0.02</v>
      </c>
      <c r="J27" s="123">
        <f t="shared" si="23"/>
        <v>13786.48</v>
      </c>
      <c r="K27" s="93">
        <f t="shared" si="24"/>
        <v>82718.880000000005</v>
      </c>
      <c r="L27" s="86">
        <v>0</v>
      </c>
      <c r="M27" s="87">
        <f t="shared" si="25"/>
        <v>0</v>
      </c>
      <c r="N27" s="93">
        <f t="shared" si="26"/>
        <v>0</v>
      </c>
      <c r="O27" s="86">
        <v>0.1</v>
      </c>
      <c r="P27" s="87">
        <f t="shared" si="27"/>
        <v>68932.400000000009</v>
      </c>
      <c r="Q27" s="86">
        <v>0.05</v>
      </c>
      <c r="R27" s="87">
        <f t="shared" si="28"/>
        <v>34466.200000000004</v>
      </c>
      <c r="S27" s="93">
        <f t="shared" si="29"/>
        <v>103398.6</v>
      </c>
      <c r="T27" s="88">
        <v>0.02</v>
      </c>
      <c r="U27" s="89">
        <f t="shared" si="30"/>
        <v>13786.48</v>
      </c>
      <c r="V27" s="88">
        <v>0.61</v>
      </c>
      <c r="W27" s="89">
        <f t="shared" si="35"/>
        <v>420487.64</v>
      </c>
      <c r="X27" s="93">
        <f t="shared" si="31"/>
        <v>434274.12</v>
      </c>
      <c r="Y27" s="88">
        <v>0</v>
      </c>
      <c r="Z27" s="89">
        <f t="shared" si="18"/>
        <v>0</v>
      </c>
      <c r="AA27" s="93">
        <f t="shared" si="32"/>
        <v>0</v>
      </c>
      <c r="AB27" s="81">
        <f t="shared" si="33"/>
        <v>0</v>
      </c>
      <c r="AC27" s="82">
        <f t="shared" si="34"/>
        <v>1</v>
      </c>
      <c r="AD27" s="159">
        <f t="shared" si="19"/>
        <v>186117.48</v>
      </c>
    </row>
    <row r="28" spans="1:30" x14ac:dyDescent="0.25">
      <c r="A28" s="46" t="s">
        <v>263</v>
      </c>
      <c r="B28" s="90"/>
      <c r="C28" s="91">
        <v>0.1</v>
      </c>
      <c r="D28" s="85">
        <f t="shared" si="20"/>
        <v>0</v>
      </c>
      <c r="E28" s="122">
        <v>0</v>
      </c>
      <c r="F28" s="123">
        <f t="shared" si="21"/>
        <v>0</v>
      </c>
      <c r="G28" s="122">
        <v>0.1</v>
      </c>
      <c r="H28" s="123">
        <f t="shared" si="22"/>
        <v>0</v>
      </c>
      <c r="I28" s="122">
        <v>0.02</v>
      </c>
      <c r="J28" s="123">
        <f t="shared" si="23"/>
        <v>0</v>
      </c>
      <c r="K28" s="93">
        <f t="shared" si="24"/>
        <v>0</v>
      </c>
      <c r="L28" s="86">
        <v>0</v>
      </c>
      <c r="M28" s="87">
        <f t="shared" si="25"/>
        <v>0</v>
      </c>
      <c r="N28" s="93">
        <f t="shared" si="26"/>
        <v>0</v>
      </c>
      <c r="O28" s="86">
        <v>0.1</v>
      </c>
      <c r="P28" s="87">
        <f t="shared" si="27"/>
        <v>0</v>
      </c>
      <c r="Q28" s="86">
        <v>0.05</v>
      </c>
      <c r="R28" s="87">
        <f t="shared" si="28"/>
        <v>0</v>
      </c>
      <c r="S28" s="93">
        <f t="shared" si="29"/>
        <v>0</v>
      </c>
      <c r="T28" s="88">
        <v>0.02</v>
      </c>
      <c r="U28" s="89">
        <f t="shared" si="30"/>
        <v>0</v>
      </c>
      <c r="V28" s="88">
        <v>0.61</v>
      </c>
      <c r="W28" s="89">
        <f t="shared" si="35"/>
        <v>0</v>
      </c>
      <c r="X28" s="93">
        <f t="shared" si="31"/>
        <v>0</v>
      </c>
      <c r="Y28" s="88">
        <v>0</v>
      </c>
      <c r="Z28" s="89">
        <f t="shared" si="18"/>
        <v>0</v>
      </c>
      <c r="AA28" s="93">
        <f t="shared" si="32"/>
        <v>0</v>
      </c>
      <c r="AB28" s="81">
        <f t="shared" si="33"/>
        <v>0</v>
      </c>
      <c r="AC28" s="82">
        <f t="shared" si="34"/>
        <v>1</v>
      </c>
      <c r="AD28" s="159">
        <f t="shared" si="19"/>
        <v>0</v>
      </c>
    </row>
    <row r="29" spans="1:30" x14ac:dyDescent="0.25">
      <c r="A29" s="46" t="s">
        <v>108</v>
      </c>
      <c r="B29" s="90"/>
      <c r="C29" s="91">
        <v>0.1</v>
      </c>
      <c r="D29" s="85">
        <f t="shared" si="20"/>
        <v>0</v>
      </c>
      <c r="E29" s="122">
        <v>0.05</v>
      </c>
      <c r="F29" s="123">
        <f t="shared" si="21"/>
        <v>0</v>
      </c>
      <c r="G29" s="122">
        <v>0.05</v>
      </c>
      <c r="H29" s="123">
        <f t="shared" si="22"/>
        <v>0</v>
      </c>
      <c r="I29" s="122">
        <v>0.01</v>
      </c>
      <c r="J29" s="123">
        <f t="shared" si="23"/>
        <v>0</v>
      </c>
      <c r="K29" s="93">
        <f t="shared" si="24"/>
        <v>0</v>
      </c>
      <c r="L29" s="86">
        <v>0</v>
      </c>
      <c r="M29" s="87">
        <f t="shared" si="25"/>
        <v>0</v>
      </c>
      <c r="N29" s="93">
        <f t="shared" si="26"/>
        <v>0</v>
      </c>
      <c r="O29" s="86">
        <v>0.02</v>
      </c>
      <c r="P29" s="87">
        <f t="shared" si="27"/>
        <v>0</v>
      </c>
      <c r="Q29" s="86">
        <v>0.25</v>
      </c>
      <c r="R29" s="87">
        <f t="shared" si="28"/>
        <v>0</v>
      </c>
      <c r="S29" s="93">
        <f t="shared" si="29"/>
        <v>0</v>
      </c>
      <c r="T29" s="88">
        <v>0.02</v>
      </c>
      <c r="U29" s="89">
        <f t="shared" si="30"/>
        <v>0</v>
      </c>
      <c r="V29" s="88">
        <v>0.5</v>
      </c>
      <c r="W29" s="89">
        <f t="shared" si="35"/>
        <v>0</v>
      </c>
      <c r="X29" s="93">
        <f t="shared" si="31"/>
        <v>0</v>
      </c>
      <c r="Y29" s="88">
        <v>0</v>
      </c>
      <c r="Z29" s="89">
        <f t="shared" si="18"/>
        <v>0</v>
      </c>
      <c r="AA29" s="93">
        <f t="shared" si="32"/>
        <v>0</v>
      </c>
      <c r="AB29" s="81">
        <f t="shared" si="33"/>
        <v>0</v>
      </c>
      <c r="AC29" s="82">
        <f t="shared" si="34"/>
        <v>1</v>
      </c>
      <c r="AD29" s="159">
        <f t="shared" si="19"/>
        <v>0</v>
      </c>
    </row>
    <row r="30" spans="1:30" x14ac:dyDescent="0.25">
      <c r="A30" s="46" t="s">
        <v>155</v>
      </c>
      <c r="B30" s="90"/>
      <c r="C30" s="91">
        <v>0.1</v>
      </c>
      <c r="D30" s="85">
        <f t="shared" si="20"/>
        <v>0</v>
      </c>
      <c r="E30" s="122">
        <v>0</v>
      </c>
      <c r="F30" s="123">
        <f t="shared" si="21"/>
        <v>0</v>
      </c>
      <c r="G30" s="122">
        <v>0</v>
      </c>
      <c r="H30" s="123">
        <f t="shared" si="22"/>
        <v>0</v>
      </c>
      <c r="I30" s="122">
        <v>0</v>
      </c>
      <c r="J30" s="123">
        <f t="shared" si="23"/>
        <v>0</v>
      </c>
      <c r="K30" s="93">
        <f t="shared" si="24"/>
        <v>0</v>
      </c>
      <c r="L30" s="86">
        <v>0.1</v>
      </c>
      <c r="M30" s="87">
        <f t="shared" si="25"/>
        <v>0</v>
      </c>
      <c r="N30" s="93">
        <f t="shared" si="26"/>
        <v>0</v>
      </c>
      <c r="O30" s="86">
        <v>0.1</v>
      </c>
      <c r="P30" s="87">
        <f t="shared" si="27"/>
        <v>0</v>
      </c>
      <c r="Q30" s="86">
        <v>0.28000000000000003</v>
      </c>
      <c r="R30" s="87">
        <f t="shared" si="28"/>
        <v>0</v>
      </c>
      <c r="S30" s="93">
        <f t="shared" si="29"/>
        <v>0</v>
      </c>
      <c r="T30" s="88">
        <v>0.02</v>
      </c>
      <c r="U30" s="89">
        <f t="shared" si="30"/>
        <v>0</v>
      </c>
      <c r="V30" s="88">
        <v>0.4</v>
      </c>
      <c r="W30" s="89">
        <f t="shared" si="35"/>
        <v>0</v>
      </c>
      <c r="X30" s="93">
        <f t="shared" si="31"/>
        <v>0</v>
      </c>
      <c r="Y30" s="88">
        <v>0</v>
      </c>
      <c r="Z30" s="89">
        <f t="shared" si="18"/>
        <v>0</v>
      </c>
      <c r="AA30" s="93">
        <f t="shared" si="32"/>
        <v>0</v>
      </c>
      <c r="AB30" s="81">
        <f t="shared" si="33"/>
        <v>0</v>
      </c>
      <c r="AC30" s="82">
        <f t="shared" si="34"/>
        <v>1</v>
      </c>
      <c r="AD30" s="159">
        <f t="shared" si="19"/>
        <v>0</v>
      </c>
    </row>
    <row r="31" spans="1:30" x14ac:dyDescent="0.25">
      <c r="A31" s="46" t="s">
        <v>115</v>
      </c>
      <c r="B31" s="90"/>
      <c r="C31" s="91">
        <v>0.1</v>
      </c>
      <c r="D31" s="85">
        <f t="shared" si="20"/>
        <v>0</v>
      </c>
      <c r="E31" s="122">
        <v>0</v>
      </c>
      <c r="F31" s="123">
        <f t="shared" si="21"/>
        <v>0</v>
      </c>
      <c r="G31" s="122">
        <v>0</v>
      </c>
      <c r="H31" s="123">
        <f t="shared" si="22"/>
        <v>0</v>
      </c>
      <c r="I31" s="122">
        <v>0</v>
      </c>
      <c r="J31" s="123">
        <f t="shared" si="23"/>
        <v>0</v>
      </c>
      <c r="K31" s="93">
        <f t="shared" si="24"/>
        <v>0</v>
      </c>
      <c r="L31" s="86">
        <v>0.01</v>
      </c>
      <c r="M31" s="87">
        <f t="shared" si="25"/>
        <v>0</v>
      </c>
      <c r="N31" s="93">
        <f t="shared" si="26"/>
        <v>0</v>
      </c>
      <c r="O31" s="86">
        <v>0.1</v>
      </c>
      <c r="P31" s="87">
        <f t="shared" si="27"/>
        <v>0</v>
      </c>
      <c r="Q31" s="86">
        <v>0.2</v>
      </c>
      <c r="R31" s="87">
        <f t="shared" si="28"/>
        <v>0</v>
      </c>
      <c r="S31" s="93">
        <f t="shared" si="29"/>
        <v>0</v>
      </c>
      <c r="T31" s="88">
        <v>0.05</v>
      </c>
      <c r="U31" s="89">
        <f t="shared" si="30"/>
        <v>0</v>
      </c>
      <c r="V31" s="88">
        <v>0.5</v>
      </c>
      <c r="W31" s="89">
        <f t="shared" si="35"/>
        <v>0</v>
      </c>
      <c r="X31" s="93">
        <f t="shared" si="31"/>
        <v>0</v>
      </c>
      <c r="Y31" s="88">
        <v>0.04</v>
      </c>
      <c r="Z31" s="89">
        <f t="shared" si="18"/>
        <v>0</v>
      </c>
      <c r="AA31" s="93">
        <f t="shared" si="32"/>
        <v>0</v>
      </c>
      <c r="AB31" s="81">
        <f t="shared" si="33"/>
        <v>0</v>
      </c>
      <c r="AC31" s="82">
        <f t="shared" si="34"/>
        <v>1</v>
      </c>
      <c r="AD31" s="159">
        <f t="shared" si="19"/>
        <v>0</v>
      </c>
    </row>
    <row r="32" spans="1:30" x14ac:dyDescent="0.25">
      <c r="A32" s="46" t="s">
        <v>72</v>
      </c>
      <c r="B32" s="90"/>
      <c r="C32" s="91">
        <v>0.1</v>
      </c>
      <c r="D32" s="85">
        <f t="shared" si="20"/>
        <v>0</v>
      </c>
      <c r="E32" s="122">
        <v>0</v>
      </c>
      <c r="F32" s="123">
        <f t="shared" si="21"/>
        <v>0</v>
      </c>
      <c r="G32" s="122">
        <v>0</v>
      </c>
      <c r="H32" s="123">
        <f t="shared" si="22"/>
        <v>0</v>
      </c>
      <c r="I32" s="122">
        <v>0</v>
      </c>
      <c r="J32" s="123">
        <f t="shared" si="23"/>
        <v>0</v>
      </c>
      <c r="K32" s="93">
        <f t="shared" si="24"/>
        <v>0</v>
      </c>
      <c r="L32" s="86">
        <v>0.01</v>
      </c>
      <c r="M32" s="87">
        <f t="shared" si="25"/>
        <v>0</v>
      </c>
      <c r="N32" s="93">
        <f t="shared" si="26"/>
        <v>0</v>
      </c>
      <c r="O32" s="86">
        <v>0.1</v>
      </c>
      <c r="P32" s="87">
        <f t="shared" si="27"/>
        <v>0</v>
      </c>
      <c r="Q32" s="86">
        <v>0.2</v>
      </c>
      <c r="R32" s="87">
        <f t="shared" si="28"/>
        <v>0</v>
      </c>
      <c r="S32" s="93">
        <f t="shared" si="29"/>
        <v>0</v>
      </c>
      <c r="T32" s="88">
        <v>0.05</v>
      </c>
      <c r="U32" s="89">
        <f t="shared" si="30"/>
        <v>0</v>
      </c>
      <c r="V32" s="88">
        <v>0.3</v>
      </c>
      <c r="W32" s="89">
        <f t="shared" si="35"/>
        <v>0</v>
      </c>
      <c r="X32" s="93">
        <f t="shared" si="31"/>
        <v>0</v>
      </c>
      <c r="Y32" s="88">
        <v>0.24</v>
      </c>
      <c r="Z32" s="89">
        <f t="shared" si="18"/>
        <v>0</v>
      </c>
      <c r="AA32" s="93">
        <f t="shared" si="32"/>
        <v>0</v>
      </c>
      <c r="AB32" s="81">
        <f t="shared" si="33"/>
        <v>0</v>
      </c>
      <c r="AC32" s="82">
        <f t="shared" si="34"/>
        <v>1</v>
      </c>
      <c r="AD32" s="159">
        <f t="shared" si="19"/>
        <v>0</v>
      </c>
    </row>
    <row r="33" spans="1:30" x14ac:dyDescent="0.25">
      <c r="A33" s="46" t="s">
        <v>52</v>
      </c>
      <c r="B33" s="90"/>
      <c r="C33" s="91">
        <v>0.1</v>
      </c>
      <c r="D33" s="85">
        <f t="shared" si="20"/>
        <v>0</v>
      </c>
      <c r="E33" s="122">
        <v>0</v>
      </c>
      <c r="F33" s="123">
        <f t="shared" si="21"/>
        <v>0</v>
      </c>
      <c r="G33" s="122">
        <v>0</v>
      </c>
      <c r="H33" s="123">
        <f t="shared" si="22"/>
        <v>0</v>
      </c>
      <c r="I33" s="122">
        <v>0</v>
      </c>
      <c r="J33" s="123">
        <f t="shared" si="23"/>
        <v>0</v>
      </c>
      <c r="K33" s="93">
        <f t="shared" si="24"/>
        <v>0</v>
      </c>
      <c r="L33" s="86">
        <v>0.01</v>
      </c>
      <c r="M33" s="87">
        <f t="shared" si="25"/>
        <v>0</v>
      </c>
      <c r="N33" s="93">
        <f t="shared" si="26"/>
        <v>0</v>
      </c>
      <c r="O33" s="86">
        <v>0.1</v>
      </c>
      <c r="P33" s="87">
        <f t="shared" si="27"/>
        <v>0</v>
      </c>
      <c r="Q33" s="86">
        <v>0.2</v>
      </c>
      <c r="R33" s="87">
        <f t="shared" si="28"/>
        <v>0</v>
      </c>
      <c r="S33" s="93">
        <f t="shared" si="29"/>
        <v>0</v>
      </c>
      <c r="T33" s="88">
        <v>0.05</v>
      </c>
      <c r="U33" s="89">
        <f t="shared" si="30"/>
        <v>0</v>
      </c>
      <c r="V33" s="88">
        <v>0.54</v>
      </c>
      <c r="W33" s="89">
        <f t="shared" si="35"/>
        <v>0</v>
      </c>
      <c r="X33" s="93">
        <f t="shared" si="31"/>
        <v>0</v>
      </c>
      <c r="Y33" s="88">
        <v>0</v>
      </c>
      <c r="Z33" s="89">
        <f t="shared" si="18"/>
        <v>0</v>
      </c>
      <c r="AA33" s="93">
        <f t="shared" si="32"/>
        <v>0</v>
      </c>
      <c r="AB33" s="81">
        <f t="shared" si="33"/>
        <v>0</v>
      </c>
      <c r="AC33" s="82">
        <f t="shared" si="34"/>
        <v>1</v>
      </c>
      <c r="AD33" s="159">
        <f t="shared" si="19"/>
        <v>0</v>
      </c>
    </row>
    <row r="34" spans="1:30" x14ac:dyDescent="0.25">
      <c r="A34" s="46" t="s">
        <v>189</v>
      </c>
      <c r="B34" s="90">
        <v>82044</v>
      </c>
      <c r="C34" s="91">
        <v>0.1</v>
      </c>
      <c r="D34" s="85">
        <f t="shared" si="20"/>
        <v>8204.4</v>
      </c>
      <c r="E34" s="122">
        <v>0</v>
      </c>
      <c r="F34" s="123">
        <f t="shared" si="21"/>
        <v>0</v>
      </c>
      <c r="G34" s="122">
        <v>0</v>
      </c>
      <c r="H34" s="123">
        <f t="shared" si="22"/>
        <v>0</v>
      </c>
      <c r="I34" s="122">
        <v>0</v>
      </c>
      <c r="J34" s="123">
        <f t="shared" si="23"/>
        <v>0</v>
      </c>
      <c r="K34" s="93">
        <f t="shared" si="24"/>
        <v>0</v>
      </c>
      <c r="L34" s="86">
        <v>0.01</v>
      </c>
      <c r="M34" s="87">
        <f t="shared" si="25"/>
        <v>820.44</v>
      </c>
      <c r="N34" s="93">
        <f t="shared" si="26"/>
        <v>820.44</v>
      </c>
      <c r="O34" s="86">
        <v>0.1</v>
      </c>
      <c r="P34" s="87">
        <f t="shared" si="27"/>
        <v>8204.4</v>
      </c>
      <c r="Q34" s="86">
        <v>0.2</v>
      </c>
      <c r="R34" s="87">
        <f t="shared" si="28"/>
        <v>16408.8</v>
      </c>
      <c r="S34" s="93">
        <f t="shared" si="29"/>
        <v>24613.199999999997</v>
      </c>
      <c r="T34" s="88">
        <v>0.05</v>
      </c>
      <c r="U34" s="89">
        <f t="shared" si="30"/>
        <v>4102.2</v>
      </c>
      <c r="V34" s="88">
        <v>0.54</v>
      </c>
      <c r="W34" s="89">
        <f t="shared" si="35"/>
        <v>44303.76</v>
      </c>
      <c r="X34" s="93">
        <f t="shared" si="31"/>
        <v>48405.96</v>
      </c>
      <c r="Y34" s="88">
        <v>0</v>
      </c>
      <c r="Z34" s="89">
        <f t="shared" si="18"/>
        <v>0</v>
      </c>
      <c r="AA34" s="93">
        <f t="shared" si="32"/>
        <v>0</v>
      </c>
      <c r="AB34" s="81">
        <f t="shared" si="33"/>
        <v>0</v>
      </c>
      <c r="AC34" s="82">
        <f t="shared" si="34"/>
        <v>1</v>
      </c>
      <c r="AD34" s="159">
        <f t="shared" si="19"/>
        <v>24613.199999999997</v>
      </c>
    </row>
    <row r="35" spans="1:30" x14ac:dyDescent="0.25">
      <c r="A35" s="46" t="s">
        <v>190</v>
      </c>
      <c r="B35" s="90"/>
      <c r="C35" s="91">
        <v>0.1</v>
      </c>
      <c r="D35" s="85">
        <f t="shared" si="20"/>
        <v>0</v>
      </c>
      <c r="E35" s="122">
        <v>0</v>
      </c>
      <c r="F35" s="123">
        <f t="shared" si="21"/>
        <v>0</v>
      </c>
      <c r="G35" s="122">
        <v>0</v>
      </c>
      <c r="H35" s="123">
        <f t="shared" si="22"/>
        <v>0</v>
      </c>
      <c r="I35" s="122">
        <v>0</v>
      </c>
      <c r="J35" s="123">
        <f t="shared" si="23"/>
        <v>0</v>
      </c>
      <c r="K35" s="93">
        <f t="shared" si="24"/>
        <v>0</v>
      </c>
      <c r="L35" s="86">
        <v>0.01</v>
      </c>
      <c r="M35" s="87">
        <f t="shared" si="25"/>
        <v>0</v>
      </c>
      <c r="N35" s="93">
        <f t="shared" si="26"/>
        <v>0</v>
      </c>
      <c r="O35" s="86">
        <v>0.1</v>
      </c>
      <c r="P35" s="87">
        <f t="shared" si="27"/>
        <v>0</v>
      </c>
      <c r="Q35" s="86">
        <v>0.2</v>
      </c>
      <c r="R35" s="87">
        <f t="shared" si="28"/>
        <v>0</v>
      </c>
      <c r="S35" s="93">
        <f t="shared" si="29"/>
        <v>0</v>
      </c>
      <c r="T35" s="88">
        <v>0.05</v>
      </c>
      <c r="U35" s="89">
        <f t="shared" si="30"/>
        <v>0</v>
      </c>
      <c r="V35" s="88">
        <v>0.54</v>
      </c>
      <c r="W35" s="89">
        <f t="shared" si="35"/>
        <v>0</v>
      </c>
      <c r="X35" s="93">
        <f t="shared" si="31"/>
        <v>0</v>
      </c>
      <c r="Y35" s="88">
        <v>0</v>
      </c>
      <c r="Z35" s="89">
        <f t="shared" si="18"/>
        <v>0</v>
      </c>
      <c r="AA35" s="93">
        <f t="shared" si="32"/>
        <v>0</v>
      </c>
      <c r="AB35" s="81">
        <f t="shared" si="33"/>
        <v>0</v>
      </c>
      <c r="AC35" s="82">
        <f t="shared" si="34"/>
        <v>1</v>
      </c>
      <c r="AD35" s="159">
        <f t="shared" si="19"/>
        <v>0</v>
      </c>
    </row>
    <row r="36" spans="1:30" x14ac:dyDescent="0.25">
      <c r="A36" s="46" t="s">
        <v>6</v>
      </c>
      <c r="B36" s="90">
        <f>70000+890000</f>
        <v>960000</v>
      </c>
      <c r="C36" s="91">
        <v>0.1</v>
      </c>
      <c r="D36" s="85">
        <f t="shared" si="20"/>
        <v>96000</v>
      </c>
      <c r="E36" s="122">
        <v>0</v>
      </c>
      <c r="F36" s="123">
        <f t="shared" si="21"/>
        <v>0</v>
      </c>
      <c r="G36" s="122">
        <v>0</v>
      </c>
      <c r="H36" s="123">
        <f t="shared" si="22"/>
        <v>0</v>
      </c>
      <c r="I36" s="122">
        <v>0</v>
      </c>
      <c r="J36" s="123">
        <f t="shared" si="23"/>
        <v>0</v>
      </c>
      <c r="K36" s="93">
        <f t="shared" si="24"/>
        <v>0</v>
      </c>
      <c r="L36" s="86">
        <v>0</v>
      </c>
      <c r="M36" s="87">
        <f t="shared" si="25"/>
        <v>0</v>
      </c>
      <c r="N36" s="93">
        <f t="shared" si="26"/>
        <v>0</v>
      </c>
      <c r="O36" s="86">
        <v>0</v>
      </c>
      <c r="P36" s="87">
        <f t="shared" si="27"/>
        <v>0</v>
      </c>
      <c r="Q36" s="86">
        <v>0</v>
      </c>
      <c r="R36" s="87">
        <f t="shared" si="28"/>
        <v>0</v>
      </c>
      <c r="S36" s="93">
        <f t="shared" si="29"/>
        <v>0</v>
      </c>
      <c r="T36" s="88">
        <v>0</v>
      </c>
      <c r="U36" s="89">
        <f t="shared" si="30"/>
        <v>0</v>
      </c>
      <c r="V36" s="88">
        <v>0.2</v>
      </c>
      <c r="W36" s="89">
        <f t="shared" si="35"/>
        <v>192000</v>
      </c>
      <c r="X36" s="93">
        <f t="shared" si="31"/>
        <v>192000</v>
      </c>
      <c r="Y36" s="88">
        <v>0.7</v>
      </c>
      <c r="Z36" s="89">
        <f t="shared" si="18"/>
        <v>672000</v>
      </c>
      <c r="AA36" s="93">
        <f t="shared" si="32"/>
        <v>672000</v>
      </c>
      <c r="AB36" s="81">
        <f t="shared" si="33"/>
        <v>0</v>
      </c>
      <c r="AC36" s="82">
        <f t="shared" si="34"/>
        <v>1</v>
      </c>
      <c r="AD36" s="159">
        <f t="shared" si="19"/>
        <v>672000</v>
      </c>
    </row>
    <row r="37" spans="1:30" x14ac:dyDescent="0.25">
      <c r="A37" s="46" t="s">
        <v>191</v>
      </c>
      <c r="B37" s="90">
        <v>386173</v>
      </c>
      <c r="C37" s="91">
        <v>0.1</v>
      </c>
      <c r="D37" s="85">
        <f t="shared" si="20"/>
        <v>38617.300000000003</v>
      </c>
      <c r="E37" s="122">
        <v>0</v>
      </c>
      <c r="F37" s="123">
        <f t="shared" si="21"/>
        <v>0</v>
      </c>
      <c r="G37" s="122">
        <v>0</v>
      </c>
      <c r="H37" s="123">
        <f t="shared" si="22"/>
        <v>0</v>
      </c>
      <c r="I37" s="122">
        <v>0</v>
      </c>
      <c r="J37" s="123">
        <f t="shared" si="23"/>
        <v>0</v>
      </c>
      <c r="K37" s="93">
        <f t="shared" si="24"/>
        <v>0</v>
      </c>
      <c r="L37" s="86">
        <v>0.01</v>
      </c>
      <c r="M37" s="87">
        <f t="shared" si="25"/>
        <v>3861.73</v>
      </c>
      <c r="N37" s="93">
        <f t="shared" si="26"/>
        <v>3861.73</v>
      </c>
      <c r="O37" s="86">
        <v>0.05</v>
      </c>
      <c r="P37" s="87">
        <f t="shared" si="27"/>
        <v>19308.650000000001</v>
      </c>
      <c r="Q37" s="86">
        <v>0.1</v>
      </c>
      <c r="R37" s="87">
        <f t="shared" si="28"/>
        <v>38617.300000000003</v>
      </c>
      <c r="S37" s="93">
        <f t="shared" si="29"/>
        <v>57925.950000000004</v>
      </c>
      <c r="T37" s="88">
        <v>0.02</v>
      </c>
      <c r="U37" s="89">
        <f t="shared" si="30"/>
        <v>7723.46</v>
      </c>
      <c r="V37" s="88">
        <v>0.4</v>
      </c>
      <c r="W37" s="89">
        <f t="shared" si="35"/>
        <v>154469.20000000001</v>
      </c>
      <c r="X37" s="93">
        <f t="shared" si="31"/>
        <v>162192.66</v>
      </c>
      <c r="Y37" s="88">
        <v>0.32</v>
      </c>
      <c r="Z37" s="89">
        <f t="shared" si="18"/>
        <v>123575.36</v>
      </c>
      <c r="AA37" s="93">
        <f t="shared" si="32"/>
        <v>123575.36</v>
      </c>
      <c r="AB37" s="81">
        <f t="shared" si="33"/>
        <v>0</v>
      </c>
      <c r="AC37" s="82">
        <f t="shared" si="34"/>
        <v>1</v>
      </c>
      <c r="AD37" s="159">
        <f t="shared" si="19"/>
        <v>181501.31</v>
      </c>
    </row>
    <row r="38" spans="1:30" x14ac:dyDescent="0.25">
      <c r="A38" s="46" t="s">
        <v>269</v>
      </c>
      <c r="B38" s="90"/>
      <c r="C38" s="91">
        <v>0</v>
      </c>
      <c r="D38" s="85">
        <f t="shared" si="20"/>
        <v>0</v>
      </c>
      <c r="E38" s="122">
        <v>0</v>
      </c>
      <c r="F38" s="123">
        <f t="shared" si="21"/>
        <v>0</v>
      </c>
      <c r="G38" s="122">
        <v>0</v>
      </c>
      <c r="H38" s="123">
        <f t="shared" si="22"/>
        <v>0</v>
      </c>
      <c r="I38" s="122">
        <v>0</v>
      </c>
      <c r="J38" s="123">
        <f t="shared" si="23"/>
        <v>0</v>
      </c>
      <c r="K38" s="93">
        <f t="shared" si="24"/>
        <v>0</v>
      </c>
      <c r="L38" s="86">
        <v>0</v>
      </c>
      <c r="M38" s="87">
        <f t="shared" si="25"/>
        <v>0</v>
      </c>
      <c r="N38" s="93">
        <f t="shared" si="26"/>
        <v>0</v>
      </c>
      <c r="O38" s="86">
        <v>0</v>
      </c>
      <c r="P38" s="87">
        <f t="shared" si="27"/>
        <v>0</v>
      </c>
      <c r="Q38" s="86">
        <v>1</v>
      </c>
      <c r="R38" s="87">
        <f t="shared" si="28"/>
        <v>0</v>
      </c>
      <c r="S38" s="93">
        <f t="shared" si="29"/>
        <v>0</v>
      </c>
      <c r="T38" s="88">
        <v>0</v>
      </c>
      <c r="U38" s="89">
        <f t="shared" si="30"/>
        <v>0</v>
      </c>
      <c r="V38" s="88">
        <v>0</v>
      </c>
      <c r="W38" s="89">
        <f t="shared" si="35"/>
        <v>0</v>
      </c>
      <c r="X38" s="93">
        <f t="shared" si="31"/>
        <v>0</v>
      </c>
      <c r="Y38" s="88">
        <v>0</v>
      </c>
      <c r="Z38" s="89">
        <f t="shared" si="18"/>
        <v>0</v>
      </c>
      <c r="AA38" s="93">
        <f t="shared" si="32"/>
        <v>0</v>
      </c>
      <c r="AB38" s="81">
        <f t="shared" si="33"/>
        <v>0</v>
      </c>
      <c r="AC38" s="82">
        <f t="shared" si="34"/>
        <v>1</v>
      </c>
      <c r="AD38" s="159">
        <f t="shared" si="19"/>
        <v>0</v>
      </c>
    </row>
    <row r="39" spans="1:30" x14ac:dyDescent="0.25">
      <c r="A39" s="46" t="s">
        <v>192</v>
      </c>
      <c r="B39" s="90">
        <f>45630+6270</f>
        <v>51900</v>
      </c>
      <c r="C39" s="91">
        <v>0.1</v>
      </c>
      <c r="D39" s="85">
        <f t="shared" si="20"/>
        <v>5190</v>
      </c>
      <c r="E39" s="122">
        <v>0</v>
      </c>
      <c r="F39" s="123">
        <f t="shared" si="21"/>
        <v>0</v>
      </c>
      <c r="G39" s="122">
        <v>0</v>
      </c>
      <c r="H39" s="123">
        <f t="shared" si="22"/>
        <v>0</v>
      </c>
      <c r="I39" s="122">
        <v>0</v>
      </c>
      <c r="J39" s="123">
        <f t="shared" si="23"/>
        <v>0</v>
      </c>
      <c r="K39" s="93">
        <f t="shared" si="24"/>
        <v>0</v>
      </c>
      <c r="L39" s="86">
        <v>0.01</v>
      </c>
      <c r="M39" s="87">
        <f t="shared" si="25"/>
        <v>519</v>
      </c>
      <c r="N39" s="93">
        <f t="shared" si="26"/>
        <v>519</v>
      </c>
      <c r="O39" s="86">
        <v>0.1</v>
      </c>
      <c r="P39" s="87">
        <f t="shared" si="27"/>
        <v>5190</v>
      </c>
      <c r="Q39" s="86">
        <v>0.1</v>
      </c>
      <c r="R39" s="87">
        <f t="shared" si="28"/>
        <v>5190</v>
      </c>
      <c r="S39" s="93">
        <f t="shared" si="29"/>
        <v>10380</v>
      </c>
      <c r="T39" s="88">
        <v>0.1</v>
      </c>
      <c r="U39" s="89">
        <f t="shared" si="30"/>
        <v>5190</v>
      </c>
      <c r="V39" s="88">
        <v>0.59</v>
      </c>
      <c r="W39" s="89">
        <f t="shared" si="35"/>
        <v>30621</v>
      </c>
      <c r="X39" s="93">
        <f t="shared" si="31"/>
        <v>35811</v>
      </c>
      <c r="Y39" s="88">
        <v>0</v>
      </c>
      <c r="Z39" s="89">
        <f t="shared" si="18"/>
        <v>0</v>
      </c>
      <c r="AA39" s="93">
        <f t="shared" si="32"/>
        <v>0</v>
      </c>
      <c r="AB39" s="81">
        <f t="shared" si="33"/>
        <v>0</v>
      </c>
      <c r="AC39" s="82">
        <f t="shared" si="34"/>
        <v>1</v>
      </c>
      <c r="AD39" s="159">
        <f t="shared" si="19"/>
        <v>10380</v>
      </c>
    </row>
    <row r="40" spans="1:30" x14ac:dyDescent="0.25">
      <c r="A40" s="46" t="s">
        <v>247</v>
      </c>
      <c r="B40" s="90">
        <v>94036</v>
      </c>
      <c r="C40" s="91">
        <v>0.1</v>
      </c>
      <c r="D40" s="85">
        <f t="shared" si="20"/>
        <v>9403.6</v>
      </c>
      <c r="E40" s="122">
        <v>0</v>
      </c>
      <c r="F40" s="123">
        <f t="shared" si="21"/>
        <v>0</v>
      </c>
      <c r="G40" s="122">
        <v>0</v>
      </c>
      <c r="H40" s="123">
        <f t="shared" si="22"/>
        <v>0</v>
      </c>
      <c r="I40" s="122">
        <v>0</v>
      </c>
      <c r="J40" s="123">
        <f t="shared" si="23"/>
        <v>0</v>
      </c>
      <c r="K40" s="93">
        <f t="shared" si="24"/>
        <v>0</v>
      </c>
      <c r="L40" s="86">
        <v>0.01</v>
      </c>
      <c r="M40" s="87">
        <f t="shared" si="25"/>
        <v>940.36</v>
      </c>
      <c r="N40" s="93">
        <f t="shared" si="26"/>
        <v>940.36</v>
      </c>
      <c r="O40" s="86">
        <v>0.1</v>
      </c>
      <c r="P40" s="87">
        <f t="shared" si="27"/>
        <v>9403.6</v>
      </c>
      <c r="Q40" s="86">
        <v>0.1</v>
      </c>
      <c r="R40" s="87">
        <f t="shared" si="28"/>
        <v>9403.6</v>
      </c>
      <c r="S40" s="93">
        <f t="shared" si="29"/>
        <v>18807.2</v>
      </c>
      <c r="T40" s="88">
        <v>0.1</v>
      </c>
      <c r="U40" s="89">
        <f t="shared" si="30"/>
        <v>9403.6</v>
      </c>
      <c r="V40" s="88">
        <v>0.59</v>
      </c>
      <c r="W40" s="89">
        <f t="shared" si="35"/>
        <v>55481.24</v>
      </c>
      <c r="X40" s="93">
        <f t="shared" si="31"/>
        <v>64884.84</v>
      </c>
      <c r="Y40" s="88">
        <v>0</v>
      </c>
      <c r="Z40" s="89">
        <f t="shared" si="18"/>
        <v>0</v>
      </c>
      <c r="AA40" s="93">
        <f t="shared" si="32"/>
        <v>0</v>
      </c>
      <c r="AB40" s="81">
        <f t="shared" si="33"/>
        <v>0</v>
      </c>
      <c r="AC40" s="82">
        <f t="shared" si="34"/>
        <v>1</v>
      </c>
      <c r="AD40" s="159">
        <f t="shared" si="19"/>
        <v>18807.2</v>
      </c>
    </row>
    <row r="41" spans="1:30" x14ac:dyDescent="0.25">
      <c r="A41" s="46" t="s">
        <v>48</v>
      </c>
      <c r="B41" s="90">
        <v>202000</v>
      </c>
      <c r="C41" s="91">
        <v>0.1</v>
      </c>
      <c r="D41" s="85">
        <f t="shared" si="20"/>
        <v>20200</v>
      </c>
      <c r="E41" s="122">
        <v>0</v>
      </c>
      <c r="F41" s="123">
        <f t="shared" si="21"/>
        <v>0</v>
      </c>
      <c r="G41" s="122">
        <v>0</v>
      </c>
      <c r="H41" s="123">
        <f t="shared" si="22"/>
        <v>0</v>
      </c>
      <c r="I41" s="122">
        <v>0</v>
      </c>
      <c r="J41" s="123">
        <f t="shared" si="23"/>
        <v>0</v>
      </c>
      <c r="K41" s="93">
        <f t="shared" si="24"/>
        <v>0</v>
      </c>
      <c r="L41" s="86">
        <v>0.01</v>
      </c>
      <c r="M41" s="87">
        <f t="shared" si="25"/>
        <v>2020</v>
      </c>
      <c r="N41" s="93">
        <f t="shared" si="26"/>
        <v>2020</v>
      </c>
      <c r="O41" s="86">
        <v>0.1</v>
      </c>
      <c r="P41" s="87">
        <f t="shared" si="27"/>
        <v>20200</v>
      </c>
      <c r="Q41" s="86">
        <v>0.1</v>
      </c>
      <c r="R41" s="87">
        <f t="shared" si="28"/>
        <v>20200</v>
      </c>
      <c r="S41" s="93">
        <f t="shared" si="29"/>
        <v>40400</v>
      </c>
      <c r="T41" s="88">
        <v>0.1</v>
      </c>
      <c r="U41" s="89">
        <f t="shared" si="30"/>
        <v>20200</v>
      </c>
      <c r="V41" s="88">
        <v>0.59</v>
      </c>
      <c r="W41" s="89">
        <f t="shared" si="35"/>
        <v>119180</v>
      </c>
      <c r="X41" s="93">
        <f t="shared" si="31"/>
        <v>139380</v>
      </c>
      <c r="Y41" s="88">
        <v>0</v>
      </c>
      <c r="Z41" s="89">
        <f t="shared" si="18"/>
        <v>0</v>
      </c>
      <c r="AA41" s="93">
        <f t="shared" si="32"/>
        <v>0</v>
      </c>
      <c r="AB41" s="81">
        <f t="shared" si="33"/>
        <v>0</v>
      </c>
      <c r="AC41" s="82">
        <f t="shared" si="34"/>
        <v>1</v>
      </c>
      <c r="AD41" s="159">
        <f t="shared" si="19"/>
        <v>40400</v>
      </c>
    </row>
    <row r="42" spans="1:30" x14ac:dyDescent="0.25">
      <c r="A42" s="46" t="s">
        <v>49</v>
      </c>
      <c r="B42" s="90">
        <v>16807</v>
      </c>
      <c r="C42" s="91">
        <v>0.1</v>
      </c>
      <c r="D42" s="85">
        <f t="shared" si="20"/>
        <v>1680.7</v>
      </c>
      <c r="E42" s="122">
        <v>0</v>
      </c>
      <c r="F42" s="123">
        <f t="shared" si="21"/>
        <v>0</v>
      </c>
      <c r="G42" s="122">
        <v>0</v>
      </c>
      <c r="H42" s="123">
        <f t="shared" si="22"/>
        <v>0</v>
      </c>
      <c r="I42" s="122">
        <v>0</v>
      </c>
      <c r="J42" s="123">
        <f t="shared" si="23"/>
        <v>0</v>
      </c>
      <c r="K42" s="93">
        <f t="shared" si="24"/>
        <v>0</v>
      </c>
      <c r="L42" s="86">
        <v>0.01</v>
      </c>
      <c r="M42" s="87">
        <f t="shared" si="25"/>
        <v>168.07</v>
      </c>
      <c r="N42" s="93">
        <f t="shared" si="26"/>
        <v>168.07</v>
      </c>
      <c r="O42" s="86">
        <v>0.1</v>
      </c>
      <c r="P42" s="87">
        <f t="shared" si="27"/>
        <v>1680.7</v>
      </c>
      <c r="Q42" s="86">
        <v>0.2</v>
      </c>
      <c r="R42" s="87">
        <f t="shared" si="28"/>
        <v>3361.4</v>
      </c>
      <c r="S42" s="93">
        <f t="shared" si="29"/>
        <v>5042.1000000000004</v>
      </c>
      <c r="T42" s="88">
        <v>0.1</v>
      </c>
      <c r="U42" s="89">
        <f t="shared" si="30"/>
        <v>1680.7</v>
      </c>
      <c r="V42" s="88">
        <v>0.49</v>
      </c>
      <c r="W42" s="89">
        <f t="shared" si="35"/>
        <v>8235.43</v>
      </c>
      <c r="X42" s="93">
        <f t="shared" si="31"/>
        <v>9916.130000000001</v>
      </c>
      <c r="Y42" s="88">
        <v>0</v>
      </c>
      <c r="Z42" s="89">
        <f t="shared" si="18"/>
        <v>0</v>
      </c>
      <c r="AA42" s="93">
        <f t="shared" si="32"/>
        <v>0</v>
      </c>
      <c r="AB42" s="81">
        <f t="shared" si="33"/>
        <v>0</v>
      </c>
      <c r="AC42" s="82">
        <f t="shared" si="34"/>
        <v>1</v>
      </c>
      <c r="AD42" s="159">
        <f t="shared" si="19"/>
        <v>5042.1000000000004</v>
      </c>
    </row>
    <row r="43" spans="1:30" x14ac:dyDescent="0.25">
      <c r="A43" s="46" t="s">
        <v>193</v>
      </c>
      <c r="B43" s="90">
        <v>269109</v>
      </c>
      <c r="C43" s="91">
        <v>0</v>
      </c>
      <c r="D43" s="85">
        <f t="shared" si="20"/>
        <v>0</v>
      </c>
      <c r="E43" s="122">
        <v>0</v>
      </c>
      <c r="F43" s="123">
        <f t="shared" si="21"/>
        <v>0</v>
      </c>
      <c r="G43" s="122">
        <v>0</v>
      </c>
      <c r="H43" s="123">
        <f t="shared" si="22"/>
        <v>0</v>
      </c>
      <c r="I43" s="122">
        <v>0</v>
      </c>
      <c r="J43" s="123">
        <f t="shared" si="23"/>
        <v>0</v>
      </c>
      <c r="K43" s="93">
        <f t="shared" si="24"/>
        <v>0</v>
      </c>
      <c r="L43" s="86">
        <v>0</v>
      </c>
      <c r="M43" s="87">
        <f t="shared" si="25"/>
        <v>0</v>
      </c>
      <c r="N43" s="93">
        <f t="shared" si="26"/>
        <v>0</v>
      </c>
      <c r="O43" s="86">
        <v>0</v>
      </c>
      <c r="P43" s="87">
        <f t="shared" si="27"/>
        <v>0</v>
      </c>
      <c r="Q43" s="86">
        <v>1</v>
      </c>
      <c r="R43" s="87">
        <f t="shared" si="28"/>
        <v>269109</v>
      </c>
      <c r="S43" s="93">
        <f t="shared" si="29"/>
        <v>269109</v>
      </c>
      <c r="T43" s="88">
        <v>0</v>
      </c>
      <c r="U43" s="89">
        <f t="shared" si="30"/>
        <v>0</v>
      </c>
      <c r="V43" s="88">
        <v>0</v>
      </c>
      <c r="W43" s="89">
        <f t="shared" si="35"/>
        <v>0</v>
      </c>
      <c r="X43" s="93">
        <f t="shared" si="31"/>
        <v>0</v>
      </c>
      <c r="Y43" s="88">
        <v>0</v>
      </c>
      <c r="Z43" s="89">
        <f t="shared" si="18"/>
        <v>0</v>
      </c>
      <c r="AA43" s="93">
        <f t="shared" si="32"/>
        <v>0</v>
      </c>
      <c r="AB43" s="81">
        <f t="shared" si="33"/>
        <v>0</v>
      </c>
      <c r="AC43" s="82">
        <f t="shared" si="34"/>
        <v>1</v>
      </c>
      <c r="AD43" s="159">
        <f t="shared" si="19"/>
        <v>269109</v>
      </c>
    </row>
    <row r="44" spans="1:30" x14ac:dyDescent="0.25">
      <c r="A44" s="46" t="s">
        <v>213</v>
      </c>
      <c r="B44" s="90">
        <v>3660000</v>
      </c>
      <c r="C44" s="91">
        <v>0</v>
      </c>
      <c r="D44" s="85">
        <f t="shared" si="20"/>
        <v>0</v>
      </c>
      <c r="E44" s="122">
        <v>0</v>
      </c>
      <c r="F44" s="123">
        <f t="shared" si="21"/>
        <v>0</v>
      </c>
      <c r="G44" s="122">
        <v>0</v>
      </c>
      <c r="H44" s="123">
        <f t="shared" si="22"/>
        <v>0</v>
      </c>
      <c r="I44" s="122">
        <v>0</v>
      </c>
      <c r="J44" s="123">
        <f t="shared" si="23"/>
        <v>0</v>
      </c>
      <c r="K44" s="93">
        <f t="shared" si="24"/>
        <v>0</v>
      </c>
      <c r="L44" s="86">
        <v>1</v>
      </c>
      <c r="M44" s="87">
        <f t="shared" si="25"/>
        <v>3660000</v>
      </c>
      <c r="N44" s="93">
        <f t="shared" si="26"/>
        <v>3660000</v>
      </c>
      <c r="O44" s="86">
        <v>0</v>
      </c>
      <c r="P44" s="87">
        <f t="shared" si="27"/>
        <v>0</v>
      </c>
      <c r="Q44" s="86">
        <v>0</v>
      </c>
      <c r="R44" s="87">
        <f t="shared" si="28"/>
        <v>0</v>
      </c>
      <c r="S44" s="93">
        <f t="shared" si="29"/>
        <v>0</v>
      </c>
      <c r="T44" s="88">
        <v>0</v>
      </c>
      <c r="U44" s="89">
        <f t="shared" si="30"/>
        <v>0</v>
      </c>
      <c r="V44" s="88">
        <v>0</v>
      </c>
      <c r="W44" s="89">
        <f t="shared" si="35"/>
        <v>0</v>
      </c>
      <c r="X44" s="93">
        <f t="shared" si="31"/>
        <v>0</v>
      </c>
      <c r="Y44" s="88">
        <v>0</v>
      </c>
      <c r="Z44" s="89">
        <f t="shared" si="18"/>
        <v>0</v>
      </c>
      <c r="AA44" s="93">
        <f t="shared" si="32"/>
        <v>0</v>
      </c>
      <c r="AB44" s="81">
        <f t="shared" si="33"/>
        <v>0</v>
      </c>
      <c r="AC44" s="82">
        <f t="shared" si="34"/>
        <v>1</v>
      </c>
      <c r="AD44" s="159">
        <f t="shared" si="19"/>
        <v>0</v>
      </c>
    </row>
    <row r="45" spans="1:30" x14ac:dyDescent="0.25">
      <c r="A45" s="46" t="s">
        <v>264</v>
      </c>
      <c r="B45" s="90">
        <f>270238+9945000</f>
        <v>10215238</v>
      </c>
      <c r="C45" s="91">
        <v>0</v>
      </c>
      <c r="D45" s="85">
        <f t="shared" si="20"/>
        <v>0</v>
      </c>
      <c r="E45" s="122">
        <v>0</v>
      </c>
      <c r="F45" s="123">
        <f t="shared" si="21"/>
        <v>0</v>
      </c>
      <c r="G45" s="122">
        <v>0</v>
      </c>
      <c r="H45" s="123">
        <f t="shared" si="22"/>
        <v>0</v>
      </c>
      <c r="I45" s="122">
        <v>0</v>
      </c>
      <c r="J45" s="123">
        <f t="shared" si="23"/>
        <v>0</v>
      </c>
      <c r="K45" s="93">
        <f t="shared" si="24"/>
        <v>0</v>
      </c>
      <c r="L45" s="86">
        <v>1</v>
      </c>
      <c r="M45" s="87">
        <f t="shared" si="25"/>
        <v>10215238</v>
      </c>
      <c r="N45" s="93">
        <f t="shared" si="26"/>
        <v>10215238</v>
      </c>
      <c r="O45" s="86">
        <v>0</v>
      </c>
      <c r="P45" s="87">
        <f t="shared" si="27"/>
        <v>0</v>
      </c>
      <c r="Q45" s="86">
        <v>0</v>
      </c>
      <c r="R45" s="87">
        <f t="shared" si="28"/>
        <v>0</v>
      </c>
      <c r="S45" s="93">
        <f t="shared" si="29"/>
        <v>0</v>
      </c>
      <c r="T45" s="88">
        <v>0</v>
      </c>
      <c r="U45" s="89">
        <f t="shared" si="30"/>
        <v>0</v>
      </c>
      <c r="V45" s="88">
        <v>0</v>
      </c>
      <c r="W45" s="89">
        <f t="shared" si="35"/>
        <v>0</v>
      </c>
      <c r="X45" s="93">
        <f t="shared" si="31"/>
        <v>0</v>
      </c>
      <c r="Y45" s="88">
        <v>0</v>
      </c>
      <c r="Z45" s="89">
        <f t="shared" si="18"/>
        <v>0</v>
      </c>
      <c r="AA45" s="93">
        <f t="shared" si="32"/>
        <v>0</v>
      </c>
      <c r="AB45" s="81">
        <f t="shared" si="33"/>
        <v>0</v>
      </c>
      <c r="AC45" s="82">
        <f t="shared" si="34"/>
        <v>1</v>
      </c>
      <c r="AD45" s="159">
        <f t="shared" si="19"/>
        <v>0</v>
      </c>
    </row>
    <row r="46" spans="1:30" x14ac:dyDescent="0.25">
      <c r="A46" s="46" t="s">
        <v>278</v>
      </c>
      <c r="B46" s="90">
        <v>481300</v>
      </c>
      <c r="C46" s="91">
        <v>0</v>
      </c>
      <c r="D46" s="85">
        <f t="shared" si="20"/>
        <v>0</v>
      </c>
      <c r="E46" s="122">
        <v>0</v>
      </c>
      <c r="F46" s="123">
        <f t="shared" si="21"/>
        <v>0</v>
      </c>
      <c r="G46" s="122">
        <v>0</v>
      </c>
      <c r="H46" s="123">
        <f t="shared" si="22"/>
        <v>0</v>
      </c>
      <c r="I46" s="122">
        <v>0</v>
      </c>
      <c r="J46" s="123">
        <f t="shared" si="23"/>
        <v>0</v>
      </c>
      <c r="K46" s="93">
        <f t="shared" si="24"/>
        <v>0</v>
      </c>
      <c r="L46" s="86">
        <v>0</v>
      </c>
      <c r="M46" s="87">
        <f t="shared" si="25"/>
        <v>0</v>
      </c>
      <c r="N46" s="93">
        <f t="shared" si="26"/>
        <v>0</v>
      </c>
      <c r="O46" s="86">
        <v>0</v>
      </c>
      <c r="P46" s="87">
        <f t="shared" si="27"/>
        <v>0</v>
      </c>
      <c r="Q46" s="86">
        <v>0</v>
      </c>
      <c r="R46" s="87">
        <f t="shared" si="28"/>
        <v>0</v>
      </c>
      <c r="S46" s="93">
        <f t="shared" si="29"/>
        <v>0</v>
      </c>
      <c r="T46" s="88">
        <v>0</v>
      </c>
      <c r="U46" s="89">
        <f t="shared" si="30"/>
        <v>0</v>
      </c>
      <c r="V46" s="88">
        <v>0</v>
      </c>
      <c r="W46" s="89">
        <f t="shared" si="35"/>
        <v>0</v>
      </c>
      <c r="X46" s="93">
        <f t="shared" si="31"/>
        <v>0</v>
      </c>
      <c r="Y46" s="88">
        <v>1</v>
      </c>
      <c r="Z46" s="89">
        <f t="shared" si="18"/>
        <v>481300</v>
      </c>
      <c r="AA46" s="93">
        <f t="shared" si="32"/>
        <v>481300</v>
      </c>
      <c r="AB46" s="81">
        <f t="shared" si="33"/>
        <v>0</v>
      </c>
      <c r="AC46" s="82">
        <f t="shared" si="34"/>
        <v>1</v>
      </c>
      <c r="AD46" s="159">
        <f t="shared" si="19"/>
        <v>481300</v>
      </c>
    </row>
    <row r="47" spans="1:30" x14ac:dyDescent="0.25">
      <c r="A47" s="46" t="s">
        <v>279</v>
      </c>
      <c r="B47" s="90"/>
      <c r="C47" s="91">
        <v>0</v>
      </c>
      <c r="D47" s="85">
        <f t="shared" si="20"/>
        <v>0</v>
      </c>
      <c r="E47" s="122">
        <v>0</v>
      </c>
      <c r="F47" s="123">
        <f t="shared" si="21"/>
        <v>0</v>
      </c>
      <c r="G47" s="122">
        <v>0</v>
      </c>
      <c r="H47" s="123">
        <f t="shared" si="22"/>
        <v>0</v>
      </c>
      <c r="I47" s="122">
        <v>0</v>
      </c>
      <c r="J47" s="123">
        <f t="shared" si="23"/>
        <v>0</v>
      </c>
      <c r="K47" s="93">
        <f t="shared" si="24"/>
        <v>0</v>
      </c>
      <c r="L47" s="86">
        <v>0</v>
      </c>
      <c r="M47" s="87">
        <f t="shared" si="25"/>
        <v>0</v>
      </c>
      <c r="N47" s="93">
        <f t="shared" si="26"/>
        <v>0</v>
      </c>
      <c r="O47" s="86">
        <v>0</v>
      </c>
      <c r="P47" s="87">
        <f t="shared" si="27"/>
        <v>0</v>
      </c>
      <c r="Q47" s="86">
        <v>0</v>
      </c>
      <c r="R47" s="87">
        <f t="shared" si="28"/>
        <v>0</v>
      </c>
      <c r="S47" s="93">
        <f t="shared" si="29"/>
        <v>0</v>
      </c>
      <c r="T47" s="88">
        <v>0</v>
      </c>
      <c r="U47" s="89">
        <v>0</v>
      </c>
      <c r="V47" s="88">
        <v>0</v>
      </c>
      <c r="W47" s="89">
        <f t="shared" si="35"/>
        <v>0</v>
      </c>
      <c r="X47" s="93">
        <f t="shared" si="31"/>
        <v>0</v>
      </c>
      <c r="Y47" s="88">
        <v>1</v>
      </c>
      <c r="Z47" s="89">
        <f t="shared" si="18"/>
        <v>0</v>
      </c>
      <c r="AA47" s="93">
        <f t="shared" si="32"/>
        <v>0</v>
      </c>
      <c r="AB47" s="81">
        <f t="shared" si="33"/>
        <v>0</v>
      </c>
      <c r="AC47" s="82">
        <f t="shared" si="34"/>
        <v>1</v>
      </c>
      <c r="AD47" s="159">
        <f t="shared" si="19"/>
        <v>0</v>
      </c>
    </row>
    <row r="48" spans="1:30" x14ac:dyDescent="0.25">
      <c r="A48" s="46" t="s">
        <v>232</v>
      </c>
      <c r="B48" s="90"/>
      <c r="C48" s="91">
        <v>0</v>
      </c>
      <c r="D48" s="85">
        <f t="shared" si="20"/>
        <v>0</v>
      </c>
      <c r="E48" s="122">
        <v>0</v>
      </c>
      <c r="F48" s="123">
        <f t="shared" si="21"/>
        <v>0</v>
      </c>
      <c r="G48" s="122">
        <v>0</v>
      </c>
      <c r="H48" s="123">
        <f t="shared" si="22"/>
        <v>0</v>
      </c>
      <c r="I48" s="122">
        <v>0</v>
      </c>
      <c r="J48" s="123">
        <f t="shared" si="23"/>
        <v>0</v>
      </c>
      <c r="K48" s="93">
        <f t="shared" si="24"/>
        <v>0</v>
      </c>
      <c r="L48" s="86">
        <v>0</v>
      </c>
      <c r="M48" s="87">
        <f t="shared" si="25"/>
        <v>0</v>
      </c>
      <c r="N48" s="93">
        <f t="shared" si="26"/>
        <v>0</v>
      </c>
      <c r="O48" s="86">
        <v>0</v>
      </c>
      <c r="P48" s="87">
        <f t="shared" si="27"/>
        <v>0</v>
      </c>
      <c r="Q48" s="86">
        <v>0</v>
      </c>
      <c r="R48" s="87">
        <f t="shared" si="28"/>
        <v>0</v>
      </c>
      <c r="S48" s="93">
        <f t="shared" si="29"/>
        <v>0</v>
      </c>
      <c r="T48" s="88">
        <v>0</v>
      </c>
      <c r="U48" s="89">
        <f t="shared" si="30"/>
        <v>0</v>
      </c>
      <c r="V48" s="88">
        <v>0.5</v>
      </c>
      <c r="W48" s="89">
        <f t="shared" si="35"/>
        <v>0</v>
      </c>
      <c r="X48" s="93">
        <f t="shared" si="31"/>
        <v>0</v>
      </c>
      <c r="Y48" s="88">
        <v>0.5</v>
      </c>
      <c r="Z48" s="89">
        <f t="shared" si="18"/>
        <v>0</v>
      </c>
      <c r="AA48" s="93">
        <f t="shared" si="32"/>
        <v>0</v>
      </c>
      <c r="AB48" s="81">
        <f t="shared" si="33"/>
        <v>0</v>
      </c>
      <c r="AC48" s="82">
        <f t="shared" si="34"/>
        <v>1</v>
      </c>
      <c r="AD48" s="159">
        <f t="shared" si="19"/>
        <v>0</v>
      </c>
    </row>
    <row r="49" spans="1:30" x14ac:dyDescent="0.25">
      <c r="A49" s="46" t="s">
        <v>70</v>
      </c>
      <c r="B49" s="90"/>
      <c r="C49" s="91">
        <v>0.1</v>
      </c>
      <c r="D49" s="85">
        <f t="shared" si="20"/>
        <v>0</v>
      </c>
      <c r="E49" s="122">
        <v>0</v>
      </c>
      <c r="F49" s="123">
        <f t="shared" si="21"/>
        <v>0</v>
      </c>
      <c r="G49" s="122">
        <v>0</v>
      </c>
      <c r="H49" s="123">
        <f t="shared" si="22"/>
        <v>0</v>
      </c>
      <c r="I49" s="122">
        <v>0</v>
      </c>
      <c r="J49" s="123">
        <f t="shared" si="23"/>
        <v>0</v>
      </c>
      <c r="K49" s="93">
        <f t="shared" si="24"/>
        <v>0</v>
      </c>
      <c r="L49" s="86">
        <v>0.01</v>
      </c>
      <c r="M49" s="87">
        <f t="shared" si="25"/>
        <v>0</v>
      </c>
      <c r="N49" s="93">
        <f t="shared" si="26"/>
        <v>0</v>
      </c>
      <c r="O49" s="86">
        <v>0.1</v>
      </c>
      <c r="P49" s="87">
        <f t="shared" si="27"/>
        <v>0</v>
      </c>
      <c r="Q49" s="86">
        <v>0.2</v>
      </c>
      <c r="R49" s="87">
        <f t="shared" si="28"/>
        <v>0</v>
      </c>
      <c r="S49" s="93">
        <f t="shared" si="29"/>
        <v>0</v>
      </c>
      <c r="T49" s="88">
        <v>0.1</v>
      </c>
      <c r="U49" s="89">
        <f t="shared" si="30"/>
        <v>0</v>
      </c>
      <c r="V49" s="88">
        <v>0.49</v>
      </c>
      <c r="W49" s="89">
        <f t="shared" si="35"/>
        <v>0</v>
      </c>
      <c r="X49" s="93">
        <f t="shared" si="31"/>
        <v>0</v>
      </c>
      <c r="Y49" s="88">
        <v>0</v>
      </c>
      <c r="Z49" s="89">
        <f t="shared" si="18"/>
        <v>0</v>
      </c>
      <c r="AA49" s="93">
        <f t="shared" si="32"/>
        <v>0</v>
      </c>
      <c r="AB49" s="81">
        <f t="shared" si="33"/>
        <v>0</v>
      </c>
      <c r="AC49" s="82">
        <f t="shared" si="34"/>
        <v>1</v>
      </c>
      <c r="AD49" s="159">
        <f t="shared" si="19"/>
        <v>0</v>
      </c>
    </row>
    <row r="50" spans="1:30" x14ac:dyDescent="0.25">
      <c r="A50" s="46" t="s">
        <v>181</v>
      </c>
      <c r="B50" s="92">
        <f>SUM(B16:B49)</f>
        <v>25160103</v>
      </c>
      <c r="C50" s="44"/>
      <c r="D50" s="93">
        <f>SUM(D16:D49)</f>
        <v>506355.9</v>
      </c>
      <c r="E50" s="124"/>
      <c r="F50" s="125">
        <f>SUM(F16:F49)</f>
        <v>687534.1</v>
      </c>
      <c r="G50" s="124"/>
      <c r="H50" s="125">
        <f>SUM(H16:H49)</f>
        <v>731534.70000000007</v>
      </c>
      <c r="I50" s="124"/>
      <c r="J50" s="125">
        <f>SUM(J16:J49)</f>
        <v>26900.080000000002</v>
      </c>
      <c r="K50" s="93">
        <f>+J50+H50+F50</f>
        <v>1445968.88</v>
      </c>
      <c r="L50" s="44"/>
      <c r="M50" s="95">
        <f>SUM(M16:M49)</f>
        <v>13904181.199999999</v>
      </c>
      <c r="N50" s="93">
        <f>SUM(N16:N49)</f>
        <v>13904181.199999999</v>
      </c>
      <c r="O50" s="44"/>
      <c r="P50" s="95">
        <f>SUM(P16:P49)</f>
        <v>322260.55000000005</v>
      </c>
      <c r="Q50" s="44"/>
      <c r="R50" s="95">
        <f>SUM(R16:R49)</f>
        <v>596790.4</v>
      </c>
      <c r="S50" s="93">
        <f>SUM(S16:S49)</f>
        <v>919050.95</v>
      </c>
      <c r="T50" s="44"/>
      <c r="U50" s="94">
        <f>SUM(U16:U49)</f>
        <v>482748.04</v>
      </c>
      <c r="V50" s="44"/>
      <c r="W50" s="94">
        <f>SUM(W16:W49)</f>
        <v>2049000.27</v>
      </c>
      <c r="X50" s="93">
        <f>SUM(X16:X49)</f>
        <v>2531748.3099999996</v>
      </c>
      <c r="Y50" s="79"/>
      <c r="Z50" s="94">
        <f>SUM(Z16:Z49)</f>
        <v>5852797.7599999998</v>
      </c>
      <c r="AA50" s="93">
        <f>SUM(AA16:AA49)</f>
        <v>5852797.7599999998</v>
      </c>
      <c r="AB50" s="81">
        <f t="shared" si="33"/>
        <v>0</v>
      </c>
      <c r="AC50" s="82">
        <f t="shared" si="34"/>
        <v>0</v>
      </c>
      <c r="AD50" s="159">
        <f>SUM(AD16:AD49)</f>
        <v>8217817.5899999999</v>
      </c>
    </row>
    <row r="53" spans="1:30" ht="30" x14ac:dyDescent="0.25">
      <c r="A53" s="71" t="s">
        <v>199</v>
      </c>
      <c r="B53" s="84" t="s">
        <v>180</v>
      </c>
      <c r="C53" s="74" t="s">
        <v>159</v>
      </c>
      <c r="D53" s="71" t="s">
        <v>176</v>
      </c>
      <c r="E53" s="106" t="s">
        <v>200</v>
      </c>
      <c r="F53" s="108" t="s">
        <v>176</v>
      </c>
      <c r="G53" s="80" t="s">
        <v>201</v>
      </c>
      <c r="H53" s="80" t="s">
        <v>202</v>
      </c>
      <c r="I53" s="99"/>
      <c r="J53" s="99"/>
      <c r="K53" s="99"/>
      <c r="L53" s="99"/>
      <c r="M53" s="99"/>
      <c r="N53" s="99"/>
      <c r="O53" s="99"/>
      <c r="P53" s="99"/>
      <c r="Q53" s="100"/>
      <c r="R53" s="100"/>
      <c r="S53" s="100"/>
      <c r="T53" s="99"/>
      <c r="U53" s="99"/>
      <c r="V53" s="100"/>
      <c r="W53" s="100"/>
      <c r="X53" s="100"/>
      <c r="Y53" s="100"/>
      <c r="Z53" s="100"/>
      <c r="AA53" s="100"/>
      <c r="AB53" s="101"/>
      <c r="AC53" s="101"/>
    </row>
    <row r="54" spans="1:30" x14ac:dyDescent="0.25">
      <c r="A54" s="46" t="s">
        <v>204</v>
      </c>
      <c r="B54" s="90">
        <v>5489152</v>
      </c>
      <c r="C54" s="91">
        <v>0.5</v>
      </c>
      <c r="D54" s="85">
        <f>+B54*C54</f>
        <v>2744576</v>
      </c>
      <c r="E54" s="107">
        <v>0.5</v>
      </c>
      <c r="F54" s="109">
        <f>+E54*B54</f>
        <v>2744576</v>
      </c>
      <c r="G54" s="110">
        <f>+C54+E54</f>
        <v>1</v>
      </c>
      <c r="H54" s="109">
        <f>+(F54+D54)-B54</f>
        <v>0</v>
      </c>
      <c r="I54" s="103"/>
      <c r="J54" s="102"/>
      <c r="K54" s="102"/>
      <c r="L54" s="103"/>
      <c r="M54" s="102"/>
      <c r="N54" s="102"/>
      <c r="O54" s="103"/>
      <c r="P54" s="102"/>
      <c r="Q54" s="103"/>
      <c r="R54" s="102"/>
      <c r="S54" s="102"/>
      <c r="T54" s="103"/>
      <c r="U54" s="102"/>
      <c r="V54" s="103"/>
      <c r="W54" s="102"/>
      <c r="X54" s="102"/>
      <c r="Y54" s="103"/>
      <c r="Z54" s="102"/>
      <c r="AA54" s="104"/>
      <c r="AB54" s="104"/>
      <c r="AC54" s="105"/>
    </row>
    <row r="55" spans="1:30" x14ac:dyDescent="0.25">
      <c r="A55" s="46" t="s">
        <v>205</v>
      </c>
      <c r="B55" s="90"/>
      <c r="C55" s="91">
        <v>0.5</v>
      </c>
      <c r="D55" s="85">
        <f t="shared" ref="D55:D61" si="36">+B55*C55</f>
        <v>0</v>
      </c>
      <c r="E55" s="107">
        <v>0.5</v>
      </c>
      <c r="F55" s="109">
        <f t="shared" ref="F55:F61" si="37">+E55*B55</f>
        <v>0</v>
      </c>
      <c r="G55" s="110">
        <f t="shared" ref="G55:G62" si="38">+C55+E55</f>
        <v>1</v>
      </c>
      <c r="H55" s="109">
        <f t="shared" ref="H55:H62" si="39">+(F55+D55)-B55</f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30" x14ac:dyDescent="0.25">
      <c r="A56" s="46" t="s">
        <v>206</v>
      </c>
      <c r="B56" s="90">
        <v>4445663</v>
      </c>
      <c r="C56" s="91">
        <v>0.5</v>
      </c>
      <c r="D56" s="85">
        <f t="shared" si="36"/>
        <v>2222831.5</v>
      </c>
      <c r="E56" s="107">
        <v>0.5</v>
      </c>
      <c r="F56" s="109">
        <f t="shared" si="37"/>
        <v>2222831.5</v>
      </c>
      <c r="G56" s="110">
        <f t="shared" si="38"/>
        <v>1</v>
      </c>
      <c r="H56" s="109">
        <f t="shared" si="39"/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30" x14ac:dyDescent="0.25">
      <c r="A57" s="46" t="s">
        <v>209</v>
      </c>
      <c r="B57" s="90">
        <v>183000</v>
      </c>
      <c r="C57" s="91">
        <v>0.5</v>
      </c>
      <c r="D57" s="85">
        <f t="shared" si="36"/>
        <v>91500</v>
      </c>
      <c r="E57" s="107">
        <v>0.5</v>
      </c>
      <c r="F57" s="109">
        <f t="shared" si="37"/>
        <v>91500</v>
      </c>
      <c r="G57" s="110">
        <f t="shared" si="38"/>
        <v>1</v>
      </c>
      <c r="H57" s="109">
        <f t="shared" si="39"/>
        <v>0</v>
      </c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30" x14ac:dyDescent="0.25">
      <c r="A58" s="46" t="s">
        <v>210</v>
      </c>
      <c r="B58" s="90">
        <v>256000</v>
      </c>
      <c r="C58" s="91">
        <v>0.5</v>
      </c>
      <c r="D58" s="85">
        <f t="shared" si="36"/>
        <v>128000</v>
      </c>
      <c r="E58" s="107">
        <v>0.5</v>
      </c>
      <c r="F58" s="109">
        <f t="shared" si="37"/>
        <v>128000</v>
      </c>
      <c r="G58" s="110">
        <f t="shared" si="38"/>
        <v>1</v>
      </c>
      <c r="H58" s="109">
        <f t="shared" si="39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30" x14ac:dyDescent="0.25">
      <c r="A59" s="46" t="s">
        <v>207</v>
      </c>
      <c r="B59" s="90">
        <v>210672</v>
      </c>
      <c r="C59" s="91">
        <v>0.5</v>
      </c>
      <c r="D59" s="85">
        <f t="shared" si="36"/>
        <v>105336</v>
      </c>
      <c r="E59" s="107">
        <v>0.5</v>
      </c>
      <c r="F59" s="109">
        <f t="shared" si="37"/>
        <v>105336</v>
      </c>
      <c r="G59" s="110">
        <f t="shared" si="38"/>
        <v>1</v>
      </c>
      <c r="H59" s="109">
        <f t="shared" si="39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0" spans="1:30" x14ac:dyDescent="0.25">
      <c r="A60" s="46" t="s">
        <v>208</v>
      </c>
      <c r="B60" s="90"/>
      <c r="C60" s="91">
        <v>0.5</v>
      </c>
      <c r="D60" s="85">
        <f t="shared" si="36"/>
        <v>0</v>
      </c>
      <c r="E60" s="107">
        <v>0.5</v>
      </c>
      <c r="F60" s="109">
        <f t="shared" si="37"/>
        <v>0</v>
      </c>
      <c r="G60" s="110">
        <f t="shared" si="38"/>
        <v>1</v>
      </c>
      <c r="H60" s="109">
        <f t="shared" si="39"/>
        <v>0</v>
      </c>
      <c r="I60" s="103"/>
      <c r="J60" s="102"/>
      <c r="K60" s="102"/>
      <c r="L60" s="103"/>
      <c r="M60" s="102"/>
      <c r="N60" s="102"/>
      <c r="O60" s="103"/>
      <c r="P60" s="102"/>
      <c r="Q60" s="103"/>
      <c r="R60" s="102"/>
      <c r="S60" s="102"/>
      <c r="T60" s="103"/>
      <c r="U60" s="102"/>
      <c r="V60" s="103"/>
      <c r="W60" s="102"/>
      <c r="X60" s="102"/>
      <c r="Y60" s="103"/>
      <c r="Z60" s="102"/>
      <c r="AA60" s="104"/>
      <c r="AB60" s="104"/>
      <c r="AC60" s="105"/>
    </row>
    <row r="61" spans="1:30" x14ac:dyDescent="0.25">
      <c r="A61" s="46" t="s">
        <v>70</v>
      </c>
      <c r="B61" s="90">
        <f>234538+7344136</f>
        <v>7578674</v>
      </c>
      <c r="C61" s="91">
        <v>0.5</v>
      </c>
      <c r="D61" s="85">
        <f t="shared" si="36"/>
        <v>3789337</v>
      </c>
      <c r="E61" s="107">
        <v>0.5</v>
      </c>
      <c r="F61" s="109">
        <f t="shared" si="37"/>
        <v>3789337</v>
      </c>
      <c r="G61" s="110">
        <f t="shared" si="38"/>
        <v>1</v>
      </c>
      <c r="H61" s="109">
        <f t="shared" si="39"/>
        <v>0</v>
      </c>
      <c r="I61" s="103"/>
      <c r="J61" s="102"/>
      <c r="K61" s="102"/>
      <c r="L61" s="103"/>
      <c r="M61" s="102"/>
      <c r="N61" s="102"/>
      <c r="O61" s="103"/>
      <c r="P61" s="102"/>
      <c r="Q61" s="103"/>
      <c r="R61" s="102"/>
      <c r="S61" s="102"/>
      <c r="T61" s="103"/>
      <c r="U61" s="102"/>
      <c r="V61" s="103"/>
      <c r="W61" s="102"/>
      <c r="X61" s="102"/>
      <c r="Y61" s="103"/>
      <c r="Z61" s="102"/>
      <c r="AA61" s="104"/>
      <c r="AB61" s="104"/>
      <c r="AC61" s="105"/>
    </row>
    <row r="62" spans="1:30" x14ac:dyDescent="0.25">
      <c r="A62" s="115" t="s">
        <v>203</v>
      </c>
      <c r="B62" s="111">
        <f>SUM(B54:B61)</f>
        <v>18163161</v>
      </c>
      <c r="C62" s="91"/>
      <c r="D62" s="93">
        <f>SUM(D54:D61)</f>
        <v>9081580.5</v>
      </c>
      <c r="E62" s="107"/>
      <c r="F62" s="112">
        <f>SUM(F54:F61)</f>
        <v>9081580.5</v>
      </c>
      <c r="G62" s="110">
        <f t="shared" si="38"/>
        <v>0</v>
      </c>
      <c r="H62" s="109">
        <f t="shared" si="39"/>
        <v>0</v>
      </c>
      <c r="I62" s="103"/>
      <c r="J62" s="102"/>
      <c r="K62" s="102"/>
      <c r="L62" s="103"/>
      <c r="M62" s="102"/>
      <c r="N62" s="102"/>
      <c r="O62" s="103"/>
      <c r="P62" s="102"/>
      <c r="Q62" s="103"/>
      <c r="R62" s="102"/>
      <c r="S62" s="102"/>
      <c r="T62" s="103"/>
      <c r="U62" s="102"/>
      <c r="V62" s="103"/>
      <c r="W62" s="102"/>
      <c r="X62" s="102"/>
      <c r="Y62" s="103"/>
      <c r="Z62" s="102"/>
      <c r="AA62" s="104"/>
      <c r="AB62" s="104"/>
      <c r="AC62" s="105"/>
    </row>
    <row r="64" spans="1:30" x14ac:dyDescent="0.25">
      <c r="A64" s="116" t="s">
        <v>211</v>
      </c>
      <c r="B64" s="117">
        <f>+B12+B50+B62</f>
        <v>65305534.592</v>
      </c>
    </row>
    <row r="66" spans="1:5" x14ac:dyDescent="0.25">
      <c r="A66" s="51" t="s">
        <v>10</v>
      </c>
      <c r="B66" s="52">
        <f>+D12+D50</f>
        <v>5972196.1488000005</v>
      </c>
    </row>
    <row r="67" spans="1:5" x14ac:dyDescent="0.25">
      <c r="A67" s="51" t="s">
        <v>228</v>
      </c>
      <c r="B67" s="52">
        <f>+B62+K12+K50</f>
        <v>30139358.012799997</v>
      </c>
    </row>
    <row r="68" spans="1:5" x14ac:dyDescent="0.25">
      <c r="A68" s="51" t="s">
        <v>227</v>
      </c>
      <c r="B68" s="52">
        <f>+S12+S50</f>
        <v>2040194.8053599999</v>
      </c>
    </row>
    <row r="69" spans="1:5" x14ac:dyDescent="0.25">
      <c r="A69" s="51" t="s">
        <v>212</v>
      </c>
      <c r="B69" s="52">
        <f>+AA12+AA50</f>
        <v>7253004.9167999998</v>
      </c>
    </row>
    <row r="70" spans="1:5" x14ac:dyDescent="0.25">
      <c r="A70" s="116" t="s">
        <v>211</v>
      </c>
      <c r="B70" s="117">
        <f>SUM(B66:B69)</f>
        <v>45404753.88375999</v>
      </c>
    </row>
    <row r="71" spans="1:5" hidden="1" x14ac:dyDescent="0.25">
      <c r="A71" s="113" t="s">
        <v>196</v>
      </c>
      <c r="B71" s="114">
        <f>+B64-B70</f>
        <v>19900780.70824001</v>
      </c>
    </row>
    <row r="73" spans="1:5" x14ac:dyDescent="0.25">
      <c r="B73" s="162"/>
    </row>
    <row r="74" spans="1:5" x14ac:dyDescent="0.25">
      <c r="B74" s="162"/>
    </row>
    <row r="75" spans="1:5" x14ac:dyDescent="0.25">
      <c r="E75" s="162"/>
    </row>
  </sheetData>
  <mergeCells count="12">
    <mergeCell ref="AB2:AC2"/>
    <mergeCell ref="E3:F3"/>
    <mergeCell ref="G3:H3"/>
    <mergeCell ref="I3:J3"/>
    <mergeCell ref="L3:M3"/>
    <mergeCell ref="O3:P3"/>
    <mergeCell ref="A1:W1"/>
    <mergeCell ref="A2:B2"/>
    <mergeCell ref="C2:D2"/>
    <mergeCell ref="E2:K2"/>
    <mergeCell ref="L2:S2"/>
    <mergeCell ref="T2:AA2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7353D-5527-44C9-9E35-C820162629A0}">
  <dimension ref="A1:AE80"/>
  <sheetViews>
    <sheetView topLeftCell="A26" workbookViewId="0">
      <selection activeCell="E23" sqref="E23"/>
    </sheetView>
  </sheetViews>
  <sheetFormatPr baseColWidth="10" defaultRowHeight="15" x14ac:dyDescent="0.25"/>
  <cols>
    <col min="1" max="1" width="44.42578125" customWidth="1"/>
    <col min="2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4" width="14.710937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2" max="22" width="13.7109375" customWidth="1"/>
    <col min="24" max="24" width="15.42578125" customWidth="1"/>
    <col min="25" max="25" width="12.85546875" customWidth="1"/>
    <col min="26" max="26" width="12.28515625" customWidth="1"/>
    <col min="27" max="27" width="15.140625" customWidth="1"/>
  </cols>
  <sheetData>
    <row r="1" spans="1:31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1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1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33" t="s">
        <v>96</v>
      </c>
      <c r="P3" s="334"/>
      <c r="Q3" s="72" t="s">
        <v>97</v>
      </c>
      <c r="R3" s="72"/>
      <c r="S3" s="69" t="s">
        <v>304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100</v>
      </c>
      <c r="AB3" s="97"/>
      <c r="AC3" s="97"/>
    </row>
    <row r="4" spans="1:31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300</v>
      </c>
      <c r="O4" s="75" t="s">
        <v>162</v>
      </c>
      <c r="P4" s="75" t="s">
        <v>176</v>
      </c>
      <c r="Q4" s="76" t="s">
        <v>163</v>
      </c>
      <c r="R4" s="76" t="s">
        <v>176</v>
      </c>
      <c r="S4" s="71" t="s">
        <v>171</v>
      </c>
      <c r="T4" s="77" t="s">
        <v>164</v>
      </c>
      <c r="U4" s="77" t="s">
        <v>176</v>
      </c>
      <c r="V4" s="78" t="s">
        <v>165</v>
      </c>
      <c r="W4" s="78" t="s">
        <v>176</v>
      </c>
      <c r="X4" s="71" t="s">
        <v>301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1" x14ac:dyDescent="0.25">
      <c r="A5" s="46" t="s">
        <v>67</v>
      </c>
      <c r="B5" s="90">
        <f>+' NOMINAS ENE-DIC'!I183+' NOMINAS ENE-DIC'!I193</f>
        <v>5023871.568</v>
      </c>
      <c r="C5" s="91">
        <f>+'%'!B4</f>
        <v>0.35</v>
      </c>
      <c r="D5" s="93">
        <f t="shared" ref="D5:D11" si="0">+B5*C5</f>
        <v>1758355.0488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50238.715680000001</v>
      </c>
      <c r="N5" s="93">
        <f>+M5</f>
        <v>50238.715680000001</v>
      </c>
      <c r="O5" s="86">
        <f>+'%'!G4</f>
        <v>0.02</v>
      </c>
      <c r="P5" s="87">
        <f t="shared" ref="P5:P11" si="6">+O5*B5</f>
        <v>100477.43136</v>
      </c>
      <c r="Q5" s="86">
        <f>+'%'!H4</f>
        <v>0.05</v>
      </c>
      <c r="R5" s="87">
        <f t="shared" ref="R5:R11" si="7">+Q5*B5</f>
        <v>251193.5784</v>
      </c>
      <c r="S5" s="93">
        <f>+P5+R5</f>
        <v>351671.00975999999</v>
      </c>
      <c r="T5" s="88">
        <f>+'%'!I4</f>
        <v>0.2</v>
      </c>
      <c r="U5" s="89">
        <f t="shared" ref="U5:U11" si="8">+T5*B5</f>
        <v>1004774.3136</v>
      </c>
      <c r="V5" s="88">
        <f>+'%'!J4</f>
        <v>0.27</v>
      </c>
      <c r="W5" s="89">
        <f t="shared" ref="W5:W11" si="9">+V5*B5</f>
        <v>1356445.32336</v>
      </c>
      <c r="X5" s="93">
        <f>+U5+W5</f>
        <v>2361219.6369599998</v>
      </c>
      <c r="Y5" s="88">
        <f>+'%'!K4</f>
        <v>0.1</v>
      </c>
      <c r="Z5" s="89">
        <f t="shared" ref="Z5:Z11" si="10">+Y5*B5</f>
        <v>502387.1568</v>
      </c>
      <c r="AA5" s="93">
        <f>+Z5</f>
        <v>502387.1568</v>
      </c>
      <c r="AB5" s="81">
        <f>+(D5+K5+N5+S5+X5+AA5)-B5</f>
        <v>0</v>
      </c>
      <c r="AC5" s="82">
        <f t="shared" ref="AC5:AC12" si="11">+C5+E5+G5+I5+L5+O5+Q5+T5+V5+Y5</f>
        <v>1</v>
      </c>
      <c r="AE5" s="162"/>
    </row>
    <row r="6" spans="1:31" x14ac:dyDescent="0.25">
      <c r="A6" s="46" t="s">
        <v>74</v>
      </c>
      <c r="B6" s="90">
        <f>+' NOMINAS ENE-DIC'!I185+' NOMINAS ENE-DIC'!I195</f>
        <v>3539856.912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1415942.7648</v>
      </c>
      <c r="G6" s="122">
        <f>+'%'!D5</f>
        <v>0.6</v>
      </c>
      <c r="H6" s="123">
        <f t="shared" si="2"/>
        <v>2123914.1472</v>
      </c>
      <c r="I6" s="122">
        <f>+'%'!E5</f>
        <v>0</v>
      </c>
      <c r="J6" s="123">
        <f t="shared" si="3"/>
        <v>0</v>
      </c>
      <c r="K6" s="93">
        <f t="shared" si="4"/>
        <v>3539856.912</v>
      </c>
      <c r="L6" s="86">
        <f>+'%'!F5</f>
        <v>0</v>
      </c>
      <c r="M6" s="87">
        <f t="shared" si="5"/>
        <v>0</v>
      </c>
      <c r="N6" s="93">
        <f t="shared" ref="N6:N12" si="12">+M6</f>
        <v>0</v>
      </c>
      <c r="O6" s="86">
        <f>+'%'!G5</f>
        <v>0</v>
      </c>
      <c r="P6" s="87">
        <f t="shared" si="6"/>
        <v>0</v>
      </c>
      <c r="Q6" s="86">
        <f>+'%'!H5</f>
        <v>0</v>
      </c>
      <c r="R6" s="87">
        <f t="shared" si="7"/>
        <v>0</v>
      </c>
      <c r="S6" s="93">
        <f t="shared" ref="S6:S11" si="13">+P6+R6</f>
        <v>0</v>
      </c>
      <c r="T6" s="88">
        <f>+'%'!I5</f>
        <v>0</v>
      </c>
      <c r="U6" s="89">
        <f t="shared" si="8"/>
        <v>0</v>
      </c>
      <c r="V6" s="88">
        <f>+'%'!J5</f>
        <v>0</v>
      </c>
      <c r="W6" s="89">
        <f t="shared" si="9"/>
        <v>0</v>
      </c>
      <c r="X6" s="93">
        <f t="shared" ref="X6:X11" si="14">+U6+W6</f>
        <v>0</v>
      </c>
      <c r="Y6" s="88">
        <f>+'%'!K5</f>
        <v>0</v>
      </c>
      <c r="Z6" s="89">
        <f t="shared" si="10"/>
        <v>0</v>
      </c>
      <c r="AA6" s="93">
        <f t="shared" ref="AA6:AA11" si="15">+Z6</f>
        <v>0</v>
      </c>
      <c r="AB6" s="81">
        <f t="shared" ref="AB6:AB12" si="16">+(D6+K6+N6+S6+X6+AA6)-B6</f>
        <v>0</v>
      </c>
      <c r="AC6" s="82">
        <f t="shared" si="11"/>
        <v>1</v>
      </c>
      <c r="AE6" s="162"/>
    </row>
    <row r="7" spans="1:31" x14ac:dyDescent="0.25">
      <c r="A7" s="46" t="s">
        <v>109</v>
      </c>
      <c r="B7" s="90">
        <f>+' NOMINAS ENE-DIC'!I182+' NOMINAS ENE-DIC'!I192</f>
        <v>3539856.912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884964.228</v>
      </c>
      <c r="G7" s="122">
        <f>+'%'!D7</f>
        <v>0.45</v>
      </c>
      <c r="H7" s="123">
        <f t="shared" si="2"/>
        <v>1592935.6104000001</v>
      </c>
      <c r="I7" s="122">
        <f>+'%'!E7</f>
        <v>0.2</v>
      </c>
      <c r="J7" s="123">
        <f t="shared" si="3"/>
        <v>707971.3824</v>
      </c>
      <c r="K7" s="93">
        <f t="shared" si="4"/>
        <v>3185871.2208000002</v>
      </c>
      <c r="L7" s="86">
        <f>+'%'!F7</f>
        <v>0</v>
      </c>
      <c r="M7" s="87">
        <f t="shared" si="5"/>
        <v>0</v>
      </c>
      <c r="N7" s="93">
        <f t="shared" si="12"/>
        <v>0</v>
      </c>
      <c r="O7" s="86">
        <f>+'%'!G7</f>
        <v>0</v>
      </c>
      <c r="P7" s="87">
        <f t="shared" si="6"/>
        <v>0</v>
      </c>
      <c r="Q7" s="86">
        <f>+'%'!H7</f>
        <v>0.05</v>
      </c>
      <c r="R7" s="87">
        <f t="shared" si="7"/>
        <v>176992.8456</v>
      </c>
      <c r="S7" s="93">
        <f t="shared" si="13"/>
        <v>176992.8456</v>
      </c>
      <c r="T7" s="88">
        <f>+'%'!I7</f>
        <v>0</v>
      </c>
      <c r="U7" s="89">
        <v>0</v>
      </c>
      <c r="V7" s="88">
        <f>+'%'!J7</f>
        <v>0.05</v>
      </c>
      <c r="W7" s="89">
        <f t="shared" si="9"/>
        <v>176992.8456</v>
      </c>
      <c r="X7" s="93">
        <f t="shared" si="14"/>
        <v>176992.8456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  <c r="AE7" s="162"/>
    </row>
    <row r="8" spans="1:31" x14ac:dyDescent="0.25">
      <c r="A8" s="46" t="s">
        <v>266</v>
      </c>
      <c r="B8" s="90">
        <f>+' NOMINAS ENE-DIC'!I184+' NOMINAS ENE-DIC'!I194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86">
        <v>0</v>
      </c>
      <c r="P8" s="87">
        <f t="shared" si="6"/>
        <v>0</v>
      </c>
      <c r="Q8" s="86">
        <v>0</v>
      </c>
      <c r="R8" s="87">
        <f t="shared" si="7"/>
        <v>0</v>
      </c>
      <c r="S8" s="93">
        <f t="shared" si="13"/>
        <v>0</v>
      </c>
      <c r="T8" s="88">
        <v>0</v>
      </c>
      <c r="U8" s="89">
        <v>0</v>
      </c>
      <c r="V8" s="88">
        <v>0</v>
      </c>
      <c r="W8" s="8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1" x14ac:dyDescent="0.25">
      <c r="A9" s="46" t="s">
        <v>184</v>
      </c>
      <c r="B9" s="90">
        <f>+' NOMINAS ENE-DIC'!B201</f>
        <v>4664000</v>
      </c>
      <c r="C9" s="91">
        <f>+'%'!B8</f>
        <v>0.2</v>
      </c>
      <c r="D9" s="93">
        <f t="shared" si="0"/>
        <v>932800</v>
      </c>
      <c r="E9" s="122">
        <f>+'%'!C8</f>
        <v>0.1</v>
      </c>
      <c r="F9" s="123">
        <f t="shared" si="1"/>
        <v>466400</v>
      </c>
      <c r="G9" s="122">
        <f>+'%'!D8</f>
        <v>0.3</v>
      </c>
      <c r="H9" s="123">
        <f t="shared" si="2"/>
        <v>1399200</v>
      </c>
      <c r="I9" s="122">
        <f>+'%'!E8</f>
        <v>0.1</v>
      </c>
      <c r="J9" s="123">
        <f t="shared" si="3"/>
        <v>466400</v>
      </c>
      <c r="K9" s="93">
        <f t="shared" si="4"/>
        <v>2332000</v>
      </c>
      <c r="L9" s="86">
        <f>+'%'!F8</f>
        <v>0</v>
      </c>
      <c r="M9" s="87">
        <f t="shared" si="5"/>
        <v>0</v>
      </c>
      <c r="N9" s="93">
        <f t="shared" si="12"/>
        <v>0</v>
      </c>
      <c r="O9" s="86">
        <v>0.02</v>
      </c>
      <c r="P9" s="87">
        <f t="shared" si="6"/>
        <v>93280</v>
      </c>
      <c r="Q9" s="86">
        <f>+'%'!H8</f>
        <v>0.05</v>
      </c>
      <c r="R9" s="87">
        <f t="shared" si="7"/>
        <v>233200</v>
      </c>
      <c r="S9" s="93">
        <f t="shared" si="13"/>
        <v>326480</v>
      </c>
      <c r="T9" s="88">
        <f>+'%'!I8</f>
        <v>0</v>
      </c>
      <c r="U9" s="89">
        <v>0</v>
      </c>
      <c r="V9" s="88">
        <f>+'%'!J8</f>
        <v>0.1</v>
      </c>
      <c r="W9" s="89">
        <f t="shared" si="9"/>
        <v>466400</v>
      </c>
      <c r="X9" s="93">
        <f t="shared" si="14"/>
        <v>466400</v>
      </c>
      <c r="Y9" s="88">
        <v>0.13</v>
      </c>
      <c r="Z9" s="89">
        <f t="shared" si="10"/>
        <v>606320</v>
      </c>
      <c r="AA9" s="93">
        <f t="shared" si="15"/>
        <v>606320</v>
      </c>
      <c r="AB9" s="81">
        <f t="shared" si="16"/>
        <v>0</v>
      </c>
      <c r="AC9" s="82">
        <f t="shared" si="11"/>
        <v>1</v>
      </c>
      <c r="AE9" s="162"/>
    </row>
    <row r="10" spans="1:31" x14ac:dyDescent="0.25">
      <c r="A10" s="46" t="s">
        <v>51</v>
      </c>
      <c r="B10" s="90">
        <f>+' NOMINAS ENE-DIC'!B202</f>
        <v>2000000</v>
      </c>
      <c r="C10" s="91">
        <f>+'%'!B8</f>
        <v>0.2</v>
      </c>
      <c r="D10" s="93">
        <f t="shared" si="0"/>
        <v>400000</v>
      </c>
      <c r="E10" s="122">
        <f>+'%'!C8</f>
        <v>0.1</v>
      </c>
      <c r="F10" s="123">
        <f t="shared" si="1"/>
        <v>200000</v>
      </c>
      <c r="G10" s="122">
        <f>+'%'!D8</f>
        <v>0.3</v>
      </c>
      <c r="H10" s="123">
        <f t="shared" si="2"/>
        <v>600000</v>
      </c>
      <c r="I10" s="122">
        <f>+'%'!E8</f>
        <v>0.1</v>
      </c>
      <c r="J10" s="123">
        <f t="shared" si="3"/>
        <v>200000</v>
      </c>
      <c r="K10" s="93">
        <f t="shared" si="4"/>
        <v>1000000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86">
        <v>0.02</v>
      </c>
      <c r="P10" s="87">
        <f t="shared" si="6"/>
        <v>40000</v>
      </c>
      <c r="Q10" s="86">
        <f>+'%'!H8</f>
        <v>0.05</v>
      </c>
      <c r="R10" s="87">
        <f t="shared" si="7"/>
        <v>100000</v>
      </c>
      <c r="S10" s="93">
        <f t="shared" si="13"/>
        <v>140000</v>
      </c>
      <c r="T10" s="88">
        <f>+'%'!I8</f>
        <v>0</v>
      </c>
      <c r="U10" s="89">
        <f t="shared" si="8"/>
        <v>0</v>
      </c>
      <c r="V10" s="88">
        <f>+'%'!J8</f>
        <v>0.1</v>
      </c>
      <c r="W10" s="89">
        <f t="shared" si="9"/>
        <v>200000</v>
      </c>
      <c r="X10" s="93">
        <f t="shared" si="14"/>
        <v>200000</v>
      </c>
      <c r="Y10" s="88">
        <v>0.13</v>
      </c>
      <c r="Z10" s="89">
        <f t="shared" si="10"/>
        <v>260000</v>
      </c>
      <c r="AA10" s="93">
        <f t="shared" si="15"/>
        <v>260000</v>
      </c>
      <c r="AB10" s="81">
        <f t="shared" si="16"/>
        <v>0</v>
      </c>
      <c r="AC10" s="82">
        <f t="shared" si="11"/>
        <v>1</v>
      </c>
      <c r="AE10" s="162"/>
    </row>
    <row r="11" spans="1:31" x14ac:dyDescent="0.25">
      <c r="A11" s="46" t="s">
        <v>185</v>
      </c>
      <c r="B11" s="90">
        <f>+' NOMINAS ENE-DIC'!B200</f>
        <v>1050000</v>
      </c>
      <c r="C11" s="91">
        <f>+'%'!B9</f>
        <v>0.2</v>
      </c>
      <c r="D11" s="93">
        <f t="shared" si="0"/>
        <v>210000</v>
      </c>
      <c r="E11" s="122">
        <f>+'%'!C9</f>
        <v>0.1</v>
      </c>
      <c r="F11" s="123">
        <f t="shared" si="1"/>
        <v>105000</v>
      </c>
      <c r="G11" s="122">
        <f>+'%'!D9</f>
        <v>0.2</v>
      </c>
      <c r="H11" s="123">
        <f t="shared" si="2"/>
        <v>210000</v>
      </c>
      <c r="I11" s="122">
        <f>+'%'!E9</f>
        <v>0.15</v>
      </c>
      <c r="J11" s="123">
        <f t="shared" si="3"/>
        <v>157500</v>
      </c>
      <c r="K11" s="93">
        <f t="shared" si="4"/>
        <v>472500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86">
        <v>0.02</v>
      </c>
      <c r="P11" s="87">
        <f t="shared" si="6"/>
        <v>21000</v>
      </c>
      <c r="Q11" s="86">
        <f>+'%'!H9</f>
        <v>0.1</v>
      </c>
      <c r="R11" s="87">
        <f t="shared" si="7"/>
        <v>105000</v>
      </c>
      <c r="S11" s="93">
        <f t="shared" si="13"/>
        <v>126000</v>
      </c>
      <c r="T11" s="88">
        <f>+'%'!I9</f>
        <v>0</v>
      </c>
      <c r="U11" s="89">
        <f t="shared" si="8"/>
        <v>0</v>
      </c>
      <c r="V11" s="88">
        <f>+'%'!J9</f>
        <v>0.2</v>
      </c>
      <c r="W11" s="89">
        <f t="shared" si="9"/>
        <v>210000</v>
      </c>
      <c r="X11" s="93">
        <f t="shared" si="14"/>
        <v>210000</v>
      </c>
      <c r="Y11" s="88">
        <v>0.03</v>
      </c>
      <c r="Z11" s="89">
        <f t="shared" si="10"/>
        <v>31500</v>
      </c>
      <c r="AA11" s="93">
        <f t="shared" si="15"/>
        <v>31500</v>
      </c>
      <c r="AB11" s="81">
        <f t="shared" si="16"/>
        <v>0</v>
      </c>
      <c r="AC11" s="82">
        <f t="shared" si="11"/>
        <v>1</v>
      </c>
      <c r="AE11" s="162"/>
    </row>
    <row r="12" spans="1:31" x14ac:dyDescent="0.25">
      <c r="A12" s="46" t="s">
        <v>181</v>
      </c>
      <c r="B12" s="92">
        <f>SUM(B5:B11)</f>
        <v>21982270.592</v>
      </c>
      <c r="C12" s="44"/>
      <c r="D12" s="93">
        <f>SUM(D5:D11)</f>
        <v>5465840.2488000002</v>
      </c>
      <c r="E12" s="124"/>
      <c r="F12" s="125">
        <f>SUM(F5:F11)</f>
        <v>3072306.9928000001</v>
      </c>
      <c r="G12" s="124"/>
      <c r="H12" s="125">
        <f>SUM(H5:H11)</f>
        <v>5926049.7576000001</v>
      </c>
      <c r="I12" s="124"/>
      <c r="J12" s="125">
        <f>SUM(J5:J11)</f>
        <v>1531871.3824</v>
      </c>
      <c r="K12" s="93">
        <f>SUM(K5:K11)</f>
        <v>10530228.1328</v>
      </c>
      <c r="L12" s="44"/>
      <c r="M12" s="95">
        <f>SUM(M5:M11)</f>
        <v>50238.715680000001</v>
      </c>
      <c r="N12" s="93">
        <f t="shared" si="12"/>
        <v>50238.715680000001</v>
      </c>
      <c r="O12" s="44"/>
      <c r="P12" s="95">
        <f>SUM(P5:P11)</f>
        <v>254757.43135999999</v>
      </c>
      <c r="Q12" s="44"/>
      <c r="R12" s="95">
        <f>SUM(R5:R11)</f>
        <v>866386.424</v>
      </c>
      <c r="S12" s="93">
        <f>SUM(S5:S11)</f>
        <v>1121143.8553599999</v>
      </c>
      <c r="T12" s="44"/>
      <c r="U12" s="94">
        <f>SUM(U5:U11)</f>
        <v>1004774.3136</v>
      </c>
      <c r="V12" s="44"/>
      <c r="W12" s="94">
        <f>SUM(W5:W11)</f>
        <v>2409838.1689599999</v>
      </c>
      <c r="X12" s="93">
        <f>SUM(X5:X11)</f>
        <v>3414612.4825599999</v>
      </c>
      <c r="Y12" s="79"/>
      <c r="Z12" s="94">
        <f>SUM(Z5:Z11)</f>
        <v>1400207.1568</v>
      </c>
      <c r="AA12" s="93">
        <f>SUM(AA5:AA11)</f>
        <v>1400207.1568</v>
      </c>
      <c r="AB12" s="81">
        <f t="shared" si="16"/>
        <v>0</v>
      </c>
      <c r="AC12" s="82">
        <f t="shared" si="11"/>
        <v>0</v>
      </c>
    </row>
    <row r="15" spans="1:31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300</v>
      </c>
      <c r="O15" s="75" t="s">
        <v>162</v>
      </c>
      <c r="P15" s="75" t="s">
        <v>176</v>
      </c>
      <c r="Q15" s="76" t="s">
        <v>163</v>
      </c>
      <c r="R15" s="76" t="s">
        <v>176</v>
      </c>
      <c r="S15" s="71" t="s">
        <v>171</v>
      </c>
      <c r="T15" s="77" t="s">
        <v>164</v>
      </c>
      <c r="U15" s="77" t="s">
        <v>176</v>
      </c>
      <c r="V15" s="78" t="s">
        <v>165</v>
      </c>
      <c r="W15" s="78" t="s">
        <v>176</v>
      </c>
      <c r="X15" s="71" t="s">
        <v>301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1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86">
        <v>0.03</v>
      </c>
      <c r="P16" s="87">
        <f>+O16*B16</f>
        <v>39340.799999999996</v>
      </c>
      <c r="Q16" s="86">
        <v>0.05</v>
      </c>
      <c r="R16" s="87">
        <f>+Q16*B16</f>
        <v>65568</v>
      </c>
      <c r="S16" s="93">
        <f>+P16+R16</f>
        <v>104908.79999999999</v>
      </c>
      <c r="T16" s="88">
        <v>0.15</v>
      </c>
      <c r="U16" s="89">
        <f>+T16*B16</f>
        <v>196704</v>
      </c>
      <c r="V16" s="88">
        <v>0.45</v>
      </c>
      <c r="W16" s="89">
        <f>+V16*B16</f>
        <v>590112</v>
      </c>
      <c r="X16" s="93">
        <f>+U16+W16</f>
        <v>786816</v>
      </c>
      <c r="Y16" s="88">
        <v>0</v>
      </c>
      <c r="Z16" s="89">
        <f t="shared" ref="Z16:Z50" si="17">+Y16*B16</f>
        <v>0</v>
      </c>
      <c r="AA16" s="93">
        <f>+Z16</f>
        <v>0</v>
      </c>
      <c r="AB16" s="81">
        <f>+(D16+K16+N16+S16+X16+AA16)-B16</f>
        <v>0</v>
      </c>
      <c r="AC16" s="82">
        <f>+C16+E16+G16+I16+L16+O16+Q16+T16+V16+Y16</f>
        <v>1</v>
      </c>
      <c r="AD16" s="159">
        <f t="shared" ref="AD16:AD50" si="18">+AA16+S16+K16</f>
        <v>380294.39999999997</v>
      </c>
    </row>
    <row r="17" spans="1:30" x14ac:dyDescent="0.25">
      <c r="A17" s="46" t="s">
        <v>81</v>
      </c>
      <c r="B17" s="90">
        <v>0</v>
      </c>
      <c r="C17" s="91">
        <v>0</v>
      </c>
      <c r="D17" s="85">
        <f t="shared" ref="D17:D50" si="19">+B17*C17</f>
        <v>0</v>
      </c>
      <c r="E17" s="122">
        <v>0.6</v>
      </c>
      <c r="F17" s="123">
        <f t="shared" ref="F17:F50" si="20">+B17*E17</f>
        <v>0</v>
      </c>
      <c r="G17" s="122">
        <v>0.4</v>
      </c>
      <c r="H17" s="123">
        <f t="shared" ref="H17:H50" si="21">+B17*G17</f>
        <v>0</v>
      </c>
      <c r="I17" s="122">
        <v>0</v>
      </c>
      <c r="J17" s="123">
        <f t="shared" ref="J17:J50" si="22">+B17*I17</f>
        <v>0</v>
      </c>
      <c r="K17" s="93">
        <f t="shared" ref="K17:K50" si="23">+F17+H17+J17</f>
        <v>0</v>
      </c>
      <c r="L17" s="86">
        <v>0</v>
      </c>
      <c r="M17" s="87">
        <f t="shared" ref="M17:M50" si="24">+L17*B17</f>
        <v>0</v>
      </c>
      <c r="N17" s="93">
        <f t="shared" ref="N17:N50" si="25">+M17</f>
        <v>0</v>
      </c>
      <c r="O17" s="86">
        <v>0</v>
      </c>
      <c r="P17" s="87">
        <f t="shared" ref="P17:P50" si="26">+O17*B17</f>
        <v>0</v>
      </c>
      <c r="Q17" s="86">
        <v>0</v>
      </c>
      <c r="R17" s="87">
        <f t="shared" ref="R17:R50" si="27">+Q17*B17</f>
        <v>0</v>
      </c>
      <c r="S17" s="93">
        <f t="shared" ref="S17:S50" si="28">+P17+R17</f>
        <v>0</v>
      </c>
      <c r="T17" s="88">
        <v>0</v>
      </c>
      <c r="U17" s="89">
        <f t="shared" ref="U17:U50" si="29">+T17*B17</f>
        <v>0</v>
      </c>
      <c r="V17" s="88">
        <v>0</v>
      </c>
      <c r="W17" s="89">
        <f>+V17*B17</f>
        <v>0</v>
      </c>
      <c r="X17" s="93">
        <f t="shared" ref="X17:X50" si="30">+U17+W17</f>
        <v>0</v>
      </c>
      <c r="Y17" s="88">
        <v>0</v>
      </c>
      <c r="Z17" s="89">
        <f t="shared" si="17"/>
        <v>0</v>
      </c>
      <c r="AA17" s="93">
        <f t="shared" ref="AA17:AA50" si="31">+Z17</f>
        <v>0</v>
      </c>
      <c r="AB17" s="81">
        <f t="shared" ref="AB17:AB51" si="32">+(D17+K17+N17+S17+X17+AA17)-B17</f>
        <v>0</v>
      </c>
      <c r="AC17" s="82">
        <f t="shared" ref="AC17:AC51" si="33">+C17+E17+G17+I17+L17+O17+Q17+T17+V17+Y17</f>
        <v>1</v>
      </c>
      <c r="AD17" s="159">
        <f t="shared" si="18"/>
        <v>0</v>
      </c>
    </row>
    <row r="18" spans="1:30" x14ac:dyDescent="0.25">
      <c r="A18" s="46" t="s">
        <v>268</v>
      </c>
      <c r="B18" s="90">
        <v>1000000</v>
      </c>
      <c r="C18" s="91">
        <v>0</v>
      </c>
      <c r="D18" s="85">
        <f t="shared" si="19"/>
        <v>0</v>
      </c>
      <c r="E18" s="122">
        <v>0.6</v>
      </c>
      <c r="F18" s="123">
        <f t="shared" si="20"/>
        <v>600000</v>
      </c>
      <c r="G18" s="122">
        <v>0.4</v>
      </c>
      <c r="H18" s="123">
        <f t="shared" si="21"/>
        <v>400000</v>
      </c>
      <c r="I18" s="122">
        <v>0</v>
      </c>
      <c r="J18" s="123">
        <f t="shared" si="22"/>
        <v>0</v>
      </c>
      <c r="K18" s="93">
        <f t="shared" si="23"/>
        <v>1000000</v>
      </c>
      <c r="L18" s="86">
        <v>0</v>
      </c>
      <c r="M18" s="87">
        <f t="shared" si="24"/>
        <v>0</v>
      </c>
      <c r="N18" s="93">
        <f t="shared" si="25"/>
        <v>0</v>
      </c>
      <c r="O18" s="86">
        <v>0</v>
      </c>
      <c r="P18" s="87">
        <f t="shared" si="26"/>
        <v>0</v>
      </c>
      <c r="Q18" s="86">
        <v>0</v>
      </c>
      <c r="R18" s="87">
        <f t="shared" si="27"/>
        <v>0</v>
      </c>
      <c r="S18" s="93">
        <f t="shared" si="28"/>
        <v>0</v>
      </c>
      <c r="T18" s="88">
        <v>0</v>
      </c>
      <c r="U18" s="89">
        <f t="shared" si="29"/>
        <v>0</v>
      </c>
      <c r="V18" s="88">
        <v>0</v>
      </c>
      <c r="W18" s="89">
        <f>+V18*B18</f>
        <v>0</v>
      </c>
      <c r="X18" s="93">
        <f t="shared" si="30"/>
        <v>0</v>
      </c>
      <c r="Y18" s="88">
        <v>0</v>
      </c>
      <c r="Z18" s="89">
        <f t="shared" si="17"/>
        <v>0</v>
      </c>
      <c r="AA18" s="93">
        <f t="shared" si="31"/>
        <v>0</v>
      </c>
      <c r="AB18" s="81">
        <f t="shared" si="32"/>
        <v>0</v>
      </c>
      <c r="AC18" s="82">
        <f t="shared" si="33"/>
        <v>1</v>
      </c>
      <c r="AD18" s="159">
        <f t="shared" si="18"/>
        <v>1000000</v>
      </c>
    </row>
    <row r="19" spans="1:30" x14ac:dyDescent="0.25">
      <c r="A19" s="46" t="s">
        <v>186</v>
      </c>
      <c r="B19" s="90">
        <v>1600000</v>
      </c>
      <c r="C19" s="91">
        <v>0.1</v>
      </c>
      <c r="D19" s="85">
        <f t="shared" si="19"/>
        <v>160000</v>
      </c>
      <c r="E19" s="122">
        <v>0</v>
      </c>
      <c r="F19" s="123">
        <f t="shared" si="20"/>
        <v>0</v>
      </c>
      <c r="G19" s="122">
        <v>0</v>
      </c>
      <c r="H19" s="123">
        <f t="shared" si="21"/>
        <v>0</v>
      </c>
      <c r="I19" s="122">
        <v>0</v>
      </c>
      <c r="J19" s="123">
        <f t="shared" si="22"/>
        <v>0</v>
      </c>
      <c r="K19" s="93">
        <f t="shared" si="23"/>
        <v>0</v>
      </c>
      <c r="L19" s="86">
        <v>0.01</v>
      </c>
      <c r="M19" s="87">
        <f t="shared" si="24"/>
        <v>16000</v>
      </c>
      <c r="N19" s="93">
        <f t="shared" si="25"/>
        <v>16000</v>
      </c>
      <c r="O19" s="86">
        <v>0.2</v>
      </c>
      <c r="P19" s="87">
        <f t="shared" si="26"/>
        <v>320000</v>
      </c>
      <c r="Q19" s="86">
        <v>0.15</v>
      </c>
      <c r="R19" s="87">
        <f t="shared" si="27"/>
        <v>240000</v>
      </c>
      <c r="S19" s="93">
        <f t="shared" si="28"/>
        <v>560000</v>
      </c>
      <c r="T19" s="88">
        <v>0.2</v>
      </c>
      <c r="U19" s="89">
        <f t="shared" si="29"/>
        <v>320000</v>
      </c>
      <c r="V19" s="88">
        <v>0.24</v>
      </c>
      <c r="W19" s="89">
        <f t="shared" ref="W19:W50" si="34">+V19*B19</f>
        <v>384000</v>
      </c>
      <c r="X19" s="93">
        <f t="shared" si="30"/>
        <v>704000</v>
      </c>
      <c r="Y19" s="88">
        <v>0.1</v>
      </c>
      <c r="Z19" s="89">
        <f t="shared" si="17"/>
        <v>160000</v>
      </c>
      <c r="AA19" s="93">
        <f t="shared" si="31"/>
        <v>160000</v>
      </c>
      <c r="AB19" s="81">
        <f t="shared" si="32"/>
        <v>0</v>
      </c>
      <c r="AC19" s="82">
        <f t="shared" si="33"/>
        <v>0.99999999999999989</v>
      </c>
      <c r="AD19" s="159">
        <f t="shared" si="18"/>
        <v>720000</v>
      </c>
    </row>
    <row r="20" spans="1:30" x14ac:dyDescent="0.25">
      <c r="A20" s="46" t="s">
        <v>276</v>
      </c>
      <c r="B20" s="90"/>
      <c r="C20" s="91">
        <v>0</v>
      </c>
      <c r="D20" s="85">
        <f t="shared" si="19"/>
        <v>0</v>
      </c>
      <c r="E20" s="122">
        <v>0</v>
      </c>
      <c r="F20" s="123">
        <f t="shared" si="20"/>
        <v>0</v>
      </c>
      <c r="G20" s="122">
        <v>0</v>
      </c>
      <c r="H20" s="123">
        <f t="shared" si="21"/>
        <v>0</v>
      </c>
      <c r="I20" s="122">
        <v>0</v>
      </c>
      <c r="J20" s="123">
        <f t="shared" si="22"/>
        <v>0</v>
      </c>
      <c r="K20" s="93">
        <f t="shared" si="23"/>
        <v>0</v>
      </c>
      <c r="L20" s="86">
        <v>0</v>
      </c>
      <c r="M20" s="87">
        <f t="shared" si="24"/>
        <v>0</v>
      </c>
      <c r="N20" s="93">
        <f t="shared" si="25"/>
        <v>0</v>
      </c>
      <c r="O20" s="86">
        <v>0</v>
      </c>
      <c r="P20" s="87">
        <f t="shared" si="26"/>
        <v>0</v>
      </c>
      <c r="Q20" s="86">
        <v>0</v>
      </c>
      <c r="R20" s="87">
        <f t="shared" si="27"/>
        <v>0</v>
      </c>
      <c r="S20" s="93">
        <f t="shared" si="28"/>
        <v>0</v>
      </c>
      <c r="T20" s="88">
        <v>0</v>
      </c>
      <c r="U20" s="89">
        <f t="shared" si="29"/>
        <v>0</v>
      </c>
      <c r="V20" s="88">
        <v>0</v>
      </c>
      <c r="W20" s="89">
        <f t="shared" si="34"/>
        <v>0</v>
      </c>
      <c r="X20" s="93">
        <f t="shared" si="30"/>
        <v>0</v>
      </c>
      <c r="Y20" s="88">
        <v>1</v>
      </c>
      <c r="Z20" s="89">
        <f t="shared" si="17"/>
        <v>0</v>
      </c>
      <c r="AA20" s="93">
        <f t="shared" si="31"/>
        <v>0</v>
      </c>
      <c r="AB20" s="81">
        <f t="shared" si="32"/>
        <v>0</v>
      </c>
      <c r="AC20" s="82">
        <f t="shared" si="33"/>
        <v>1</v>
      </c>
      <c r="AD20" s="159">
        <f t="shared" si="18"/>
        <v>0</v>
      </c>
    </row>
    <row r="21" spans="1:30" x14ac:dyDescent="0.25">
      <c r="A21" s="46" t="s">
        <v>277</v>
      </c>
      <c r="B21" s="90"/>
      <c r="C21" s="91">
        <v>0.1</v>
      </c>
      <c r="D21" s="85">
        <f t="shared" si="19"/>
        <v>0</v>
      </c>
      <c r="E21" s="122">
        <v>0</v>
      </c>
      <c r="F21" s="123">
        <f t="shared" si="20"/>
        <v>0</v>
      </c>
      <c r="G21" s="122">
        <v>0</v>
      </c>
      <c r="H21" s="123">
        <f t="shared" si="21"/>
        <v>0</v>
      </c>
      <c r="I21" s="122">
        <v>0</v>
      </c>
      <c r="J21" s="123">
        <f t="shared" si="22"/>
        <v>0</v>
      </c>
      <c r="K21" s="93">
        <f t="shared" si="23"/>
        <v>0</v>
      </c>
      <c r="L21" s="86">
        <v>0</v>
      </c>
      <c r="M21" s="87">
        <f t="shared" si="24"/>
        <v>0</v>
      </c>
      <c r="N21" s="93">
        <f t="shared" si="25"/>
        <v>0</v>
      </c>
      <c r="O21" s="86">
        <v>0</v>
      </c>
      <c r="P21" s="87">
        <f t="shared" si="26"/>
        <v>0</v>
      </c>
      <c r="Q21" s="86">
        <v>0</v>
      </c>
      <c r="R21" s="87">
        <f t="shared" si="27"/>
        <v>0</v>
      </c>
      <c r="S21" s="93">
        <f t="shared" si="28"/>
        <v>0</v>
      </c>
      <c r="T21" s="88">
        <v>0.1</v>
      </c>
      <c r="U21" s="89">
        <f t="shared" si="29"/>
        <v>0</v>
      </c>
      <c r="V21" s="88">
        <v>0.7</v>
      </c>
      <c r="W21" s="89">
        <f t="shared" si="34"/>
        <v>0</v>
      </c>
      <c r="X21" s="93">
        <f t="shared" si="30"/>
        <v>0</v>
      </c>
      <c r="Y21" s="88">
        <v>0.1</v>
      </c>
      <c r="Z21" s="89">
        <f t="shared" si="17"/>
        <v>0</v>
      </c>
      <c r="AA21" s="93">
        <f t="shared" si="31"/>
        <v>0</v>
      </c>
      <c r="AB21" s="81">
        <f t="shared" si="32"/>
        <v>0</v>
      </c>
      <c r="AC21" s="82">
        <f t="shared" si="33"/>
        <v>0.99999999999999989</v>
      </c>
      <c r="AD21" s="159">
        <f t="shared" si="18"/>
        <v>0</v>
      </c>
    </row>
    <row r="22" spans="1:30" x14ac:dyDescent="0.25">
      <c r="A22" s="46" t="s">
        <v>121</v>
      </c>
      <c r="B22" s="90"/>
      <c r="C22" s="91">
        <v>0.1</v>
      </c>
      <c r="D22" s="85">
        <f t="shared" si="19"/>
        <v>0</v>
      </c>
      <c r="E22" s="122">
        <v>0.05</v>
      </c>
      <c r="F22" s="123">
        <f t="shared" si="20"/>
        <v>0</v>
      </c>
      <c r="G22" s="122">
        <v>0.05</v>
      </c>
      <c r="H22" s="123">
        <f t="shared" si="21"/>
        <v>0</v>
      </c>
      <c r="I22" s="122">
        <v>0.01</v>
      </c>
      <c r="J22" s="123">
        <f t="shared" si="22"/>
        <v>0</v>
      </c>
      <c r="K22" s="93">
        <f t="shared" si="23"/>
        <v>0</v>
      </c>
      <c r="L22" s="86">
        <v>0</v>
      </c>
      <c r="M22" s="87">
        <f t="shared" si="24"/>
        <v>0</v>
      </c>
      <c r="N22" s="93">
        <f t="shared" si="25"/>
        <v>0</v>
      </c>
      <c r="O22" s="86">
        <v>0.05</v>
      </c>
      <c r="P22" s="87">
        <f t="shared" si="26"/>
        <v>0</v>
      </c>
      <c r="Q22" s="86">
        <v>0.05</v>
      </c>
      <c r="R22" s="87">
        <f t="shared" si="27"/>
        <v>0</v>
      </c>
      <c r="S22" s="93">
        <f t="shared" si="28"/>
        <v>0</v>
      </c>
      <c r="T22" s="88">
        <v>0</v>
      </c>
      <c r="U22" s="89">
        <f t="shared" si="29"/>
        <v>0</v>
      </c>
      <c r="V22" s="88">
        <v>0.45</v>
      </c>
      <c r="W22" s="89">
        <f t="shared" si="34"/>
        <v>0</v>
      </c>
      <c r="X22" s="93">
        <f t="shared" si="30"/>
        <v>0</v>
      </c>
      <c r="Y22" s="88">
        <v>0.24</v>
      </c>
      <c r="Z22" s="89">
        <f t="shared" si="17"/>
        <v>0</v>
      </c>
      <c r="AA22" s="93">
        <f t="shared" si="31"/>
        <v>0</v>
      </c>
      <c r="AB22" s="81">
        <f t="shared" si="32"/>
        <v>0</v>
      </c>
      <c r="AC22" s="82">
        <f t="shared" si="33"/>
        <v>1</v>
      </c>
      <c r="AD22" s="159">
        <f t="shared" si="18"/>
        <v>0</v>
      </c>
    </row>
    <row r="23" spans="1:30" x14ac:dyDescent="0.25">
      <c r="A23" s="46" t="s">
        <v>111</v>
      </c>
      <c r="B23" s="90">
        <v>544047</v>
      </c>
      <c r="C23" s="91">
        <v>0</v>
      </c>
      <c r="D23" s="85">
        <f t="shared" si="19"/>
        <v>0</v>
      </c>
      <c r="E23" s="122">
        <v>0</v>
      </c>
      <c r="F23" s="123">
        <f t="shared" si="20"/>
        <v>0</v>
      </c>
      <c r="G23" s="122">
        <v>0</v>
      </c>
      <c r="H23" s="123">
        <f t="shared" si="21"/>
        <v>0</v>
      </c>
      <c r="I23" s="122">
        <v>0</v>
      </c>
      <c r="J23" s="123">
        <f t="shared" si="22"/>
        <v>0</v>
      </c>
      <c r="K23" s="93">
        <f t="shared" si="23"/>
        <v>0</v>
      </c>
      <c r="L23" s="86">
        <v>0</v>
      </c>
      <c r="M23" s="87">
        <f t="shared" si="24"/>
        <v>0</v>
      </c>
      <c r="N23" s="93">
        <f t="shared" si="25"/>
        <v>0</v>
      </c>
      <c r="O23" s="86">
        <v>0</v>
      </c>
      <c r="P23" s="87">
        <f t="shared" si="26"/>
        <v>0</v>
      </c>
      <c r="Q23" s="86">
        <v>0</v>
      </c>
      <c r="R23" s="87">
        <f t="shared" si="27"/>
        <v>0</v>
      </c>
      <c r="S23" s="93">
        <f t="shared" si="28"/>
        <v>0</v>
      </c>
      <c r="T23" s="88">
        <v>0</v>
      </c>
      <c r="U23" s="89">
        <f t="shared" si="29"/>
        <v>0</v>
      </c>
      <c r="V23" s="88">
        <v>0</v>
      </c>
      <c r="W23" s="89">
        <f t="shared" si="34"/>
        <v>0</v>
      </c>
      <c r="X23" s="93">
        <f t="shared" si="30"/>
        <v>0</v>
      </c>
      <c r="Y23" s="88">
        <v>1</v>
      </c>
      <c r="Z23" s="89">
        <f t="shared" si="17"/>
        <v>544047</v>
      </c>
      <c r="AA23" s="93">
        <f t="shared" si="31"/>
        <v>544047</v>
      </c>
      <c r="AB23" s="81">
        <f t="shared" si="32"/>
        <v>0</v>
      </c>
      <c r="AC23" s="82">
        <f t="shared" si="33"/>
        <v>1</v>
      </c>
      <c r="AD23" s="159">
        <f t="shared" si="18"/>
        <v>544047</v>
      </c>
    </row>
    <row r="24" spans="1:30" x14ac:dyDescent="0.25">
      <c r="A24" s="46" t="s">
        <v>220</v>
      </c>
      <c r="B24" s="90">
        <v>191217</v>
      </c>
      <c r="C24" s="91">
        <v>0.1</v>
      </c>
      <c r="D24" s="85">
        <f t="shared" si="19"/>
        <v>19121.7</v>
      </c>
      <c r="E24" s="122">
        <v>0.05</v>
      </c>
      <c r="F24" s="123">
        <f t="shared" si="20"/>
        <v>9560.85</v>
      </c>
      <c r="G24" s="122">
        <v>0.15</v>
      </c>
      <c r="H24" s="123">
        <f t="shared" si="21"/>
        <v>28682.55</v>
      </c>
      <c r="I24" s="122">
        <v>0</v>
      </c>
      <c r="J24" s="123">
        <f t="shared" si="22"/>
        <v>0</v>
      </c>
      <c r="K24" s="93">
        <f t="shared" si="23"/>
        <v>38243.4</v>
      </c>
      <c r="L24" s="86">
        <v>0</v>
      </c>
      <c r="M24" s="87">
        <f t="shared" si="24"/>
        <v>0</v>
      </c>
      <c r="N24" s="93">
        <f t="shared" si="25"/>
        <v>0</v>
      </c>
      <c r="O24" s="86">
        <v>0</v>
      </c>
      <c r="P24" s="87">
        <f t="shared" si="26"/>
        <v>0</v>
      </c>
      <c r="Q24" s="86">
        <v>0.05</v>
      </c>
      <c r="R24" s="87">
        <f t="shared" si="27"/>
        <v>9560.85</v>
      </c>
      <c r="S24" s="93">
        <f t="shared" si="28"/>
        <v>9560.85</v>
      </c>
      <c r="T24" s="88">
        <v>0.15</v>
      </c>
      <c r="U24" s="89">
        <f t="shared" si="29"/>
        <v>28682.55</v>
      </c>
      <c r="V24" s="88">
        <v>0.45</v>
      </c>
      <c r="W24" s="89">
        <f t="shared" si="34"/>
        <v>86047.650000000009</v>
      </c>
      <c r="X24" s="93">
        <f t="shared" si="30"/>
        <v>114730.20000000001</v>
      </c>
      <c r="Y24" s="88">
        <v>0.05</v>
      </c>
      <c r="Z24" s="89">
        <f t="shared" si="17"/>
        <v>9560.85</v>
      </c>
      <c r="AA24" s="93">
        <f t="shared" si="31"/>
        <v>9560.85</v>
      </c>
      <c r="AB24" s="81">
        <f t="shared" si="32"/>
        <v>0</v>
      </c>
      <c r="AC24" s="82">
        <f t="shared" si="33"/>
        <v>1</v>
      </c>
      <c r="AD24" s="159">
        <f t="shared" si="18"/>
        <v>57365.100000000006</v>
      </c>
    </row>
    <row r="25" spans="1:30" x14ac:dyDescent="0.25">
      <c r="A25" s="46" t="s">
        <v>68</v>
      </c>
      <c r="B25" s="90">
        <v>239444</v>
      </c>
      <c r="C25" s="91">
        <v>0.1</v>
      </c>
      <c r="D25" s="85">
        <f t="shared" si="19"/>
        <v>23944.400000000001</v>
      </c>
      <c r="E25" s="122">
        <v>0.05</v>
      </c>
      <c r="F25" s="123">
        <f t="shared" si="20"/>
        <v>11972.2</v>
      </c>
      <c r="G25" s="122">
        <v>0.15</v>
      </c>
      <c r="H25" s="123">
        <f t="shared" si="21"/>
        <v>35916.6</v>
      </c>
      <c r="I25" s="122">
        <v>0</v>
      </c>
      <c r="J25" s="123">
        <f t="shared" si="22"/>
        <v>0</v>
      </c>
      <c r="K25" s="93">
        <f t="shared" si="23"/>
        <v>47888.800000000003</v>
      </c>
      <c r="L25" s="86">
        <v>0</v>
      </c>
      <c r="M25" s="87">
        <f t="shared" si="24"/>
        <v>0</v>
      </c>
      <c r="N25" s="93">
        <f t="shared" si="25"/>
        <v>0</v>
      </c>
      <c r="O25" s="86">
        <v>0</v>
      </c>
      <c r="P25" s="87">
        <f t="shared" si="26"/>
        <v>0</v>
      </c>
      <c r="Q25" s="86">
        <v>0.05</v>
      </c>
      <c r="R25" s="87">
        <f t="shared" si="27"/>
        <v>11972.2</v>
      </c>
      <c r="S25" s="93">
        <f t="shared" si="28"/>
        <v>11972.2</v>
      </c>
      <c r="T25" s="88">
        <v>0.15</v>
      </c>
      <c r="U25" s="89">
        <f t="shared" si="29"/>
        <v>35916.6</v>
      </c>
      <c r="V25" s="88">
        <v>0.45</v>
      </c>
      <c r="W25" s="89">
        <f t="shared" si="34"/>
        <v>107749.8</v>
      </c>
      <c r="X25" s="93">
        <f t="shared" si="30"/>
        <v>143666.4</v>
      </c>
      <c r="Y25" s="88">
        <v>0.05</v>
      </c>
      <c r="Z25" s="89">
        <f t="shared" si="17"/>
        <v>11972.2</v>
      </c>
      <c r="AA25" s="93">
        <f t="shared" si="31"/>
        <v>11972.2</v>
      </c>
      <c r="AB25" s="81">
        <f t="shared" si="32"/>
        <v>0</v>
      </c>
      <c r="AC25" s="82">
        <f t="shared" si="33"/>
        <v>1</v>
      </c>
      <c r="AD25" s="159">
        <f t="shared" si="18"/>
        <v>71833.200000000012</v>
      </c>
    </row>
    <row r="26" spans="1:30" x14ac:dyDescent="0.25">
      <c r="A26" s="46" t="s">
        <v>187</v>
      </c>
      <c r="B26" s="90"/>
      <c r="C26" s="91">
        <v>0.1</v>
      </c>
      <c r="D26" s="85">
        <f t="shared" si="19"/>
        <v>0</v>
      </c>
      <c r="E26" s="122">
        <v>0</v>
      </c>
      <c r="F26" s="123">
        <f t="shared" si="20"/>
        <v>0</v>
      </c>
      <c r="G26" s="122">
        <v>0</v>
      </c>
      <c r="H26" s="123">
        <f t="shared" si="21"/>
        <v>0</v>
      </c>
      <c r="I26" s="122">
        <v>0.1</v>
      </c>
      <c r="J26" s="123">
        <f t="shared" si="22"/>
        <v>0</v>
      </c>
      <c r="K26" s="93">
        <f t="shared" si="23"/>
        <v>0</v>
      </c>
      <c r="L26" s="86">
        <v>0</v>
      </c>
      <c r="M26" s="87">
        <f t="shared" si="24"/>
        <v>0</v>
      </c>
      <c r="N26" s="93">
        <f t="shared" si="25"/>
        <v>0</v>
      </c>
      <c r="O26" s="86">
        <v>0.05</v>
      </c>
      <c r="P26" s="87">
        <f t="shared" si="26"/>
        <v>0</v>
      </c>
      <c r="Q26" s="86">
        <v>0.1</v>
      </c>
      <c r="R26" s="87">
        <f t="shared" si="27"/>
        <v>0</v>
      </c>
      <c r="S26" s="93">
        <f t="shared" si="28"/>
        <v>0</v>
      </c>
      <c r="T26" s="88">
        <v>0.05</v>
      </c>
      <c r="U26" s="89">
        <f t="shared" si="29"/>
        <v>0</v>
      </c>
      <c r="V26" s="88">
        <v>0.6</v>
      </c>
      <c r="W26" s="89">
        <f t="shared" si="34"/>
        <v>0</v>
      </c>
      <c r="X26" s="93">
        <f t="shared" si="30"/>
        <v>0</v>
      </c>
      <c r="Y26" s="88">
        <v>0</v>
      </c>
      <c r="Z26" s="89">
        <f t="shared" si="17"/>
        <v>0</v>
      </c>
      <c r="AA26" s="93">
        <f t="shared" si="31"/>
        <v>0</v>
      </c>
      <c r="AB26" s="81">
        <f t="shared" si="32"/>
        <v>0</v>
      </c>
      <c r="AC26" s="82">
        <f t="shared" si="33"/>
        <v>1</v>
      </c>
      <c r="AD26" s="159">
        <f t="shared" si="18"/>
        <v>0</v>
      </c>
    </row>
    <row r="27" spans="1:30" x14ac:dyDescent="0.25">
      <c r="A27" s="46" t="s">
        <v>188</v>
      </c>
      <c r="B27" s="90">
        <v>2378775</v>
      </c>
      <c r="C27" s="91">
        <v>0.1</v>
      </c>
      <c r="D27" s="85">
        <f t="shared" si="19"/>
        <v>237877.5</v>
      </c>
      <c r="E27" s="122">
        <v>0</v>
      </c>
      <c r="F27" s="123">
        <f t="shared" si="20"/>
        <v>0</v>
      </c>
      <c r="G27" s="122">
        <v>0.1</v>
      </c>
      <c r="H27" s="123">
        <f t="shared" si="21"/>
        <v>237877.5</v>
      </c>
      <c r="I27" s="122">
        <v>0.02</v>
      </c>
      <c r="J27" s="123">
        <f t="shared" si="22"/>
        <v>47575.5</v>
      </c>
      <c r="K27" s="93">
        <f t="shared" si="23"/>
        <v>285453</v>
      </c>
      <c r="L27" s="86">
        <v>0</v>
      </c>
      <c r="M27" s="87">
        <f t="shared" si="24"/>
        <v>0</v>
      </c>
      <c r="N27" s="93">
        <f t="shared" si="25"/>
        <v>0</v>
      </c>
      <c r="O27" s="86">
        <v>0.1</v>
      </c>
      <c r="P27" s="87">
        <f t="shared" si="26"/>
        <v>237877.5</v>
      </c>
      <c r="Q27" s="86">
        <v>0.05</v>
      </c>
      <c r="R27" s="87">
        <f t="shared" si="27"/>
        <v>118938.75</v>
      </c>
      <c r="S27" s="93">
        <f t="shared" si="28"/>
        <v>356816.25</v>
      </c>
      <c r="T27" s="88">
        <v>0.02</v>
      </c>
      <c r="U27" s="89">
        <f t="shared" si="29"/>
        <v>47575.5</v>
      </c>
      <c r="V27" s="88">
        <v>0.61</v>
      </c>
      <c r="W27" s="89">
        <f t="shared" si="34"/>
        <v>1451052.75</v>
      </c>
      <c r="X27" s="93">
        <f t="shared" si="30"/>
        <v>1498628.25</v>
      </c>
      <c r="Y27" s="88">
        <v>0</v>
      </c>
      <c r="Z27" s="89">
        <f t="shared" si="17"/>
        <v>0</v>
      </c>
      <c r="AA27" s="93">
        <f t="shared" si="31"/>
        <v>0</v>
      </c>
      <c r="AB27" s="81">
        <f t="shared" si="32"/>
        <v>0</v>
      </c>
      <c r="AC27" s="82">
        <f t="shared" si="33"/>
        <v>1</v>
      </c>
      <c r="AD27" s="159">
        <f t="shared" si="18"/>
        <v>642269.25</v>
      </c>
    </row>
    <row r="28" spans="1:30" x14ac:dyDescent="0.25">
      <c r="A28" s="46" t="s">
        <v>263</v>
      </c>
      <c r="B28" s="90"/>
      <c r="C28" s="91">
        <v>0.1</v>
      </c>
      <c r="D28" s="85">
        <f t="shared" si="19"/>
        <v>0</v>
      </c>
      <c r="E28" s="122">
        <v>0</v>
      </c>
      <c r="F28" s="123">
        <f t="shared" si="20"/>
        <v>0</v>
      </c>
      <c r="G28" s="122">
        <v>0.1</v>
      </c>
      <c r="H28" s="123">
        <f t="shared" si="21"/>
        <v>0</v>
      </c>
      <c r="I28" s="122">
        <v>0.02</v>
      </c>
      <c r="J28" s="123">
        <f t="shared" si="22"/>
        <v>0</v>
      </c>
      <c r="K28" s="93">
        <f t="shared" si="23"/>
        <v>0</v>
      </c>
      <c r="L28" s="86">
        <v>0</v>
      </c>
      <c r="M28" s="87">
        <f t="shared" si="24"/>
        <v>0</v>
      </c>
      <c r="N28" s="93">
        <f t="shared" si="25"/>
        <v>0</v>
      </c>
      <c r="O28" s="86">
        <v>0.1</v>
      </c>
      <c r="P28" s="87">
        <f t="shared" si="26"/>
        <v>0</v>
      </c>
      <c r="Q28" s="86">
        <v>0.05</v>
      </c>
      <c r="R28" s="87">
        <f t="shared" si="27"/>
        <v>0</v>
      </c>
      <c r="S28" s="93">
        <f t="shared" si="28"/>
        <v>0</v>
      </c>
      <c r="T28" s="88">
        <v>0.02</v>
      </c>
      <c r="U28" s="89">
        <f t="shared" si="29"/>
        <v>0</v>
      </c>
      <c r="V28" s="88">
        <v>0.61</v>
      </c>
      <c r="W28" s="89">
        <f t="shared" si="34"/>
        <v>0</v>
      </c>
      <c r="X28" s="93">
        <f t="shared" si="30"/>
        <v>0</v>
      </c>
      <c r="Y28" s="88">
        <v>0</v>
      </c>
      <c r="Z28" s="89">
        <f t="shared" si="17"/>
        <v>0</v>
      </c>
      <c r="AA28" s="93">
        <f t="shared" si="31"/>
        <v>0</v>
      </c>
      <c r="AB28" s="81">
        <f t="shared" si="32"/>
        <v>0</v>
      </c>
      <c r="AC28" s="82">
        <f t="shared" si="33"/>
        <v>1</v>
      </c>
      <c r="AD28" s="159">
        <f t="shared" si="18"/>
        <v>0</v>
      </c>
    </row>
    <row r="29" spans="1:30" x14ac:dyDescent="0.25">
      <c r="A29" s="46" t="s">
        <v>108</v>
      </c>
      <c r="B29" s="90"/>
      <c r="C29" s="91">
        <v>0.1</v>
      </c>
      <c r="D29" s="85">
        <f t="shared" si="19"/>
        <v>0</v>
      </c>
      <c r="E29" s="122">
        <v>0.05</v>
      </c>
      <c r="F29" s="123">
        <f t="shared" si="20"/>
        <v>0</v>
      </c>
      <c r="G29" s="122">
        <v>0.05</v>
      </c>
      <c r="H29" s="123">
        <f t="shared" si="21"/>
        <v>0</v>
      </c>
      <c r="I29" s="122">
        <v>0.01</v>
      </c>
      <c r="J29" s="123">
        <f t="shared" si="22"/>
        <v>0</v>
      </c>
      <c r="K29" s="93">
        <f t="shared" si="23"/>
        <v>0</v>
      </c>
      <c r="L29" s="86">
        <v>0</v>
      </c>
      <c r="M29" s="87">
        <f t="shared" si="24"/>
        <v>0</v>
      </c>
      <c r="N29" s="93">
        <f t="shared" si="25"/>
        <v>0</v>
      </c>
      <c r="O29" s="86">
        <v>0.02</v>
      </c>
      <c r="P29" s="87">
        <f t="shared" si="26"/>
        <v>0</v>
      </c>
      <c r="Q29" s="86">
        <v>0.25</v>
      </c>
      <c r="R29" s="87">
        <f t="shared" si="27"/>
        <v>0</v>
      </c>
      <c r="S29" s="93">
        <f t="shared" si="28"/>
        <v>0</v>
      </c>
      <c r="T29" s="88">
        <v>0.02</v>
      </c>
      <c r="U29" s="89">
        <f t="shared" si="29"/>
        <v>0</v>
      </c>
      <c r="V29" s="88">
        <v>0.5</v>
      </c>
      <c r="W29" s="89">
        <f t="shared" si="34"/>
        <v>0</v>
      </c>
      <c r="X29" s="93">
        <f t="shared" si="30"/>
        <v>0</v>
      </c>
      <c r="Y29" s="88">
        <v>0</v>
      </c>
      <c r="Z29" s="89">
        <f t="shared" si="17"/>
        <v>0</v>
      </c>
      <c r="AA29" s="93">
        <f t="shared" si="31"/>
        <v>0</v>
      </c>
      <c r="AB29" s="81">
        <f t="shared" si="32"/>
        <v>0</v>
      </c>
      <c r="AC29" s="82">
        <f t="shared" si="33"/>
        <v>1</v>
      </c>
      <c r="AD29" s="159">
        <f t="shared" si="18"/>
        <v>0</v>
      </c>
    </row>
    <row r="30" spans="1:30" x14ac:dyDescent="0.25">
      <c r="A30" s="46" t="s">
        <v>155</v>
      </c>
      <c r="B30" s="90"/>
      <c r="C30" s="91">
        <v>0.1</v>
      </c>
      <c r="D30" s="85">
        <f t="shared" si="19"/>
        <v>0</v>
      </c>
      <c r="E30" s="122">
        <v>0</v>
      </c>
      <c r="F30" s="123">
        <f t="shared" si="20"/>
        <v>0</v>
      </c>
      <c r="G30" s="122">
        <v>0</v>
      </c>
      <c r="H30" s="123">
        <f t="shared" si="21"/>
        <v>0</v>
      </c>
      <c r="I30" s="122">
        <v>0</v>
      </c>
      <c r="J30" s="123">
        <f t="shared" si="22"/>
        <v>0</v>
      </c>
      <c r="K30" s="93">
        <f t="shared" si="23"/>
        <v>0</v>
      </c>
      <c r="L30" s="86">
        <v>0.1</v>
      </c>
      <c r="M30" s="87">
        <f t="shared" si="24"/>
        <v>0</v>
      </c>
      <c r="N30" s="93">
        <f t="shared" si="25"/>
        <v>0</v>
      </c>
      <c r="O30" s="86">
        <v>0.1</v>
      </c>
      <c r="P30" s="87">
        <f t="shared" si="26"/>
        <v>0</v>
      </c>
      <c r="Q30" s="86">
        <v>0.28000000000000003</v>
      </c>
      <c r="R30" s="87">
        <f t="shared" si="27"/>
        <v>0</v>
      </c>
      <c r="S30" s="93">
        <f t="shared" si="28"/>
        <v>0</v>
      </c>
      <c r="T30" s="88">
        <v>0.02</v>
      </c>
      <c r="U30" s="89">
        <f t="shared" si="29"/>
        <v>0</v>
      </c>
      <c r="V30" s="88">
        <v>0.4</v>
      </c>
      <c r="W30" s="89">
        <f t="shared" si="34"/>
        <v>0</v>
      </c>
      <c r="X30" s="93">
        <f t="shared" si="30"/>
        <v>0</v>
      </c>
      <c r="Y30" s="88">
        <v>0</v>
      </c>
      <c r="Z30" s="89">
        <f t="shared" si="17"/>
        <v>0</v>
      </c>
      <c r="AA30" s="93">
        <f t="shared" si="31"/>
        <v>0</v>
      </c>
      <c r="AB30" s="81">
        <f t="shared" si="32"/>
        <v>0</v>
      </c>
      <c r="AC30" s="82">
        <f t="shared" si="33"/>
        <v>1</v>
      </c>
      <c r="AD30" s="159">
        <f t="shared" si="18"/>
        <v>0</v>
      </c>
    </row>
    <row r="31" spans="1:30" x14ac:dyDescent="0.25">
      <c r="A31" s="46" t="s">
        <v>115</v>
      </c>
      <c r="B31" s="90"/>
      <c r="C31" s="91">
        <v>0.1</v>
      </c>
      <c r="D31" s="85">
        <f t="shared" si="19"/>
        <v>0</v>
      </c>
      <c r="E31" s="122">
        <v>0</v>
      </c>
      <c r="F31" s="123">
        <f t="shared" si="20"/>
        <v>0</v>
      </c>
      <c r="G31" s="122">
        <v>0</v>
      </c>
      <c r="H31" s="123">
        <f t="shared" si="21"/>
        <v>0</v>
      </c>
      <c r="I31" s="122">
        <v>0</v>
      </c>
      <c r="J31" s="123">
        <f t="shared" si="22"/>
        <v>0</v>
      </c>
      <c r="K31" s="93">
        <f t="shared" si="23"/>
        <v>0</v>
      </c>
      <c r="L31" s="86">
        <v>0.01</v>
      </c>
      <c r="M31" s="87">
        <f t="shared" si="24"/>
        <v>0</v>
      </c>
      <c r="N31" s="93">
        <f t="shared" si="25"/>
        <v>0</v>
      </c>
      <c r="O31" s="86">
        <v>0.1</v>
      </c>
      <c r="P31" s="87">
        <f t="shared" si="26"/>
        <v>0</v>
      </c>
      <c r="Q31" s="86">
        <v>0.2</v>
      </c>
      <c r="R31" s="87">
        <f t="shared" si="27"/>
        <v>0</v>
      </c>
      <c r="S31" s="93">
        <f t="shared" si="28"/>
        <v>0</v>
      </c>
      <c r="T31" s="88">
        <v>0.05</v>
      </c>
      <c r="U31" s="89">
        <f t="shared" si="29"/>
        <v>0</v>
      </c>
      <c r="V31" s="88">
        <v>0.5</v>
      </c>
      <c r="W31" s="89">
        <f t="shared" si="34"/>
        <v>0</v>
      </c>
      <c r="X31" s="93">
        <f t="shared" si="30"/>
        <v>0</v>
      </c>
      <c r="Y31" s="88">
        <v>0.04</v>
      </c>
      <c r="Z31" s="89">
        <f t="shared" si="17"/>
        <v>0</v>
      </c>
      <c r="AA31" s="93">
        <f t="shared" si="31"/>
        <v>0</v>
      </c>
      <c r="AB31" s="81">
        <f t="shared" si="32"/>
        <v>0</v>
      </c>
      <c r="AC31" s="82">
        <f t="shared" si="33"/>
        <v>1</v>
      </c>
      <c r="AD31" s="159">
        <f t="shared" si="18"/>
        <v>0</v>
      </c>
    </row>
    <row r="32" spans="1:30" x14ac:dyDescent="0.25">
      <c r="A32" s="46" t="s">
        <v>72</v>
      </c>
      <c r="B32" s="90"/>
      <c r="C32" s="91">
        <v>0.1</v>
      </c>
      <c r="D32" s="85">
        <f t="shared" si="19"/>
        <v>0</v>
      </c>
      <c r="E32" s="122">
        <v>0</v>
      </c>
      <c r="F32" s="123">
        <f t="shared" si="20"/>
        <v>0</v>
      </c>
      <c r="G32" s="122">
        <v>0</v>
      </c>
      <c r="H32" s="123">
        <f t="shared" si="21"/>
        <v>0</v>
      </c>
      <c r="I32" s="122">
        <v>0</v>
      </c>
      <c r="J32" s="123">
        <f t="shared" si="22"/>
        <v>0</v>
      </c>
      <c r="K32" s="93">
        <f t="shared" si="23"/>
        <v>0</v>
      </c>
      <c r="L32" s="86">
        <v>0.01</v>
      </c>
      <c r="M32" s="87">
        <f t="shared" si="24"/>
        <v>0</v>
      </c>
      <c r="N32" s="93">
        <f t="shared" si="25"/>
        <v>0</v>
      </c>
      <c r="O32" s="86">
        <v>0.1</v>
      </c>
      <c r="P32" s="87">
        <f t="shared" si="26"/>
        <v>0</v>
      </c>
      <c r="Q32" s="86">
        <v>0.2</v>
      </c>
      <c r="R32" s="87">
        <f t="shared" si="27"/>
        <v>0</v>
      </c>
      <c r="S32" s="93">
        <f t="shared" si="28"/>
        <v>0</v>
      </c>
      <c r="T32" s="88">
        <v>0.05</v>
      </c>
      <c r="U32" s="89">
        <f t="shared" si="29"/>
        <v>0</v>
      </c>
      <c r="V32" s="88">
        <v>0.3</v>
      </c>
      <c r="W32" s="89">
        <f t="shared" si="34"/>
        <v>0</v>
      </c>
      <c r="X32" s="93">
        <f t="shared" si="30"/>
        <v>0</v>
      </c>
      <c r="Y32" s="88">
        <v>0.24</v>
      </c>
      <c r="Z32" s="89">
        <f t="shared" si="17"/>
        <v>0</v>
      </c>
      <c r="AA32" s="93">
        <f t="shared" si="31"/>
        <v>0</v>
      </c>
      <c r="AB32" s="81">
        <f t="shared" si="32"/>
        <v>0</v>
      </c>
      <c r="AC32" s="82">
        <f t="shared" si="33"/>
        <v>1</v>
      </c>
      <c r="AD32" s="159">
        <f t="shared" si="18"/>
        <v>0</v>
      </c>
    </row>
    <row r="33" spans="1:30" x14ac:dyDescent="0.25">
      <c r="A33" s="46" t="s">
        <v>52</v>
      </c>
      <c r="B33" s="90">
        <v>7900</v>
      </c>
      <c r="C33" s="91">
        <v>0.1</v>
      </c>
      <c r="D33" s="85">
        <f t="shared" si="19"/>
        <v>790</v>
      </c>
      <c r="E33" s="122">
        <v>0</v>
      </c>
      <c r="F33" s="123">
        <f t="shared" si="20"/>
        <v>0</v>
      </c>
      <c r="G33" s="122">
        <v>0</v>
      </c>
      <c r="H33" s="123">
        <f t="shared" si="21"/>
        <v>0</v>
      </c>
      <c r="I33" s="122">
        <v>0</v>
      </c>
      <c r="J33" s="123">
        <f t="shared" si="22"/>
        <v>0</v>
      </c>
      <c r="K33" s="93">
        <f t="shared" si="23"/>
        <v>0</v>
      </c>
      <c r="L33" s="86">
        <v>0.01</v>
      </c>
      <c r="M33" s="87">
        <f t="shared" si="24"/>
        <v>79</v>
      </c>
      <c r="N33" s="93">
        <f t="shared" si="25"/>
        <v>79</v>
      </c>
      <c r="O33" s="86">
        <v>0.1</v>
      </c>
      <c r="P33" s="87">
        <f t="shared" si="26"/>
        <v>790</v>
      </c>
      <c r="Q33" s="86">
        <v>0.2</v>
      </c>
      <c r="R33" s="87">
        <f t="shared" si="27"/>
        <v>1580</v>
      </c>
      <c r="S33" s="93">
        <f t="shared" si="28"/>
        <v>2370</v>
      </c>
      <c r="T33" s="88">
        <v>0.05</v>
      </c>
      <c r="U33" s="89">
        <f t="shared" si="29"/>
        <v>395</v>
      </c>
      <c r="V33" s="88">
        <v>0.54</v>
      </c>
      <c r="W33" s="89">
        <f t="shared" si="34"/>
        <v>4266</v>
      </c>
      <c r="X33" s="93">
        <f t="shared" si="30"/>
        <v>4661</v>
      </c>
      <c r="Y33" s="88">
        <v>0</v>
      </c>
      <c r="Z33" s="89">
        <f t="shared" si="17"/>
        <v>0</v>
      </c>
      <c r="AA33" s="93">
        <f t="shared" si="31"/>
        <v>0</v>
      </c>
      <c r="AB33" s="81">
        <f t="shared" si="32"/>
        <v>0</v>
      </c>
      <c r="AC33" s="82">
        <f t="shared" si="33"/>
        <v>1</v>
      </c>
      <c r="AD33" s="159">
        <f t="shared" si="18"/>
        <v>2370</v>
      </c>
    </row>
    <row r="34" spans="1:30" x14ac:dyDescent="0.25">
      <c r="A34" s="46" t="s">
        <v>189</v>
      </c>
      <c r="B34" s="90"/>
      <c r="C34" s="91">
        <v>0.1</v>
      </c>
      <c r="D34" s="85">
        <f t="shared" si="19"/>
        <v>0</v>
      </c>
      <c r="E34" s="122">
        <v>0</v>
      </c>
      <c r="F34" s="123">
        <f t="shared" si="20"/>
        <v>0</v>
      </c>
      <c r="G34" s="122">
        <v>0</v>
      </c>
      <c r="H34" s="123">
        <f t="shared" si="21"/>
        <v>0</v>
      </c>
      <c r="I34" s="122">
        <v>0</v>
      </c>
      <c r="J34" s="123">
        <f t="shared" si="22"/>
        <v>0</v>
      </c>
      <c r="K34" s="93">
        <f t="shared" si="23"/>
        <v>0</v>
      </c>
      <c r="L34" s="86">
        <v>0.01</v>
      </c>
      <c r="M34" s="87">
        <f t="shared" si="24"/>
        <v>0</v>
      </c>
      <c r="N34" s="93">
        <f t="shared" si="25"/>
        <v>0</v>
      </c>
      <c r="O34" s="86">
        <v>0.1</v>
      </c>
      <c r="P34" s="87">
        <f t="shared" si="26"/>
        <v>0</v>
      </c>
      <c r="Q34" s="86">
        <v>0.2</v>
      </c>
      <c r="R34" s="87">
        <f t="shared" si="27"/>
        <v>0</v>
      </c>
      <c r="S34" s="93">
        <f t="shared" si="28"/>
        <v>0</v>
      </c>
      <c r="T34" s="88">
        <v>0.05</v>
      </c>
      <c r="U34" s="89">
        <f t="shared" si="29"/>
        <v>0</v>
      </c>
      <c r="V34" s="88">
        <v>0.54</v>
      </c>
      <c r="W34" s="89">
        <f t="shared" si="34"/>
        <v>0</v>
      </c>
      <c r="X34" s="93">
        <f t="shared" si="30"/>
        <v>0</v>
      </c>
      <c r="Y34" s="88">
        <v>0</v>
      </c>
      <c r="Z34" s="89">
        <f t="shared" si="17"/>
        <v>0</v>
      </c>
      <c r="AA34" s="93">
        <f t="shared" si="31"/>
        <v>0</v>
      </c>
      <c r="AB34" s="81">
        <f t="shared" si="32"/>
        <v>0</v>
      </c>
      <c r="AC34" s="82">
        <f t="shared" si="33"/>
        <v>1</v>
      </c>
      <c r="AD34" s="159">
        <f t="shared" si="18"/>
        <v>0</v>
      </c>
    </row>
    <row r="35" spans="1:30" x14ac:dyDescent="0.25">
      <c r="A35" s="46" t="s">
        <v>190</v>
      </c>
      <c r="B35" s="90"/>
      <c r="C35" s="91">
        <v>0.1</v>
      </c>
      <c r="D35" s="85">
        <f t="shared" si="19"/>
        <v>0</v>
      </c>
      <c r="E35" s="122">
        <v>0</v>
      </c>
      <c r="F35" s="123">
        <f t="shared" si="20"/>
        <v>0</v>
      </c>
      <c r="G35" s="122">
        <v>0</v>
      </c>
      <c r="H35" s="123">
        <f t="shared" si="21"/>
        <v>0</v>
      </c>
      <c r="I35" s="122">
        <v>0</v>
      </c>
      <c r="J35" s="123">
        <f t="shared" si="22"/>
        <v>0</v>
      </c>
      <c r="K35" s="93">
        <f t="shared" si="23"/>
        <v>0</v>
      </c>
      <c r="L35" s="86">
        <v>0.01</v>
      </c>
      <c r="M35" s="87">
        <f t="shared" si="24"/>
        <v>0</v>
      </c>
      <c r="N35" s="93">
        <f t="shared" si="25"/>
        <v>0</v>
      </c>
      <c r="O35" s="86">
        <v>0.1</v>
      </c>
      <c r="P35" s="87">
        <f t="shared" si="26"/>
        <v>0</v>
      </c>
      <c r="Q35" s="86">
        <v>0.2</v>
      </c>
      <c r="R35" s="87">
        <f t="shared" si="27"/>
        <v>0</v>
      </c>
      <c r="S35" s="93">
        <f t="shared" si="28"/>
        <v>0</v>
      </c>
      <c r="T35" s="88">
        <v>0.05</v>
      </c>
      <c r="U35" s="89">
        <f t="shared" si="29"/>
        <v>0</v>
      </c>
      <c r="V35" s="88">
        <v>0.54</v>
      </c>
      <c r="W35" s="89">
        <f t="shared" si="34"/>
        <v>0</v>
      </c>
      <c r="X35" s="93">
        <f t="shared" si="30"/>
        <v>0</v>
      </c>
      <c r="Y35" s="88">
        <v>0</v>
      </c>
      <c r="Z35" s="89">
        <f t="shared" si="17"/>
        <v>0</v>
      </c>
      <c r="AA35" s="93">
        <f t="shared" si="31"/>
        <v>0</v>
      </c>
      <c r="AB35" s="81">
        <f t="shared" si="32"/>
        <v>0</v>
      </c>
      <c r="AC35" s="82">
        <f t="shared" si="33"/>
        <v>1</v>
      </c>
      <c r="AD35" s="159">
        <f t="shared" si="18"/>
        <v>0</v>
      </c>
    </row>
    <row r="36" spans="1:30" x14ac:dyDescent="0.25">
      <c r="A36" s="46" t="s">
        <v>6</v>
      </c>
      <c r="B36" s="90">
        <v>100000</v>
      </c>
      <c r="C36" s="91">
        <v>0.1</v>
      </c>
      <c r="D36" s="85">
        <f t="shared" si="19"/>
        <v>10000</v>
      </c>
      <c r="E36" s="122">
        <v>0</v>
      </c>
      <c r="F36" s="123">
        <f t="shared" si="20"/>
        <v>0</v>
      </c>
      <c r="G36" s="122">
        <v>0</v>
      </c>
      <c r="H36" s="123">
        <f t="shared" si="21"/>
        <v>0</v>
      </c>
      <c r="I36" s="122">
        <v>0</v>
      </c>
      <c r="J36" s="123">
        <f t="shared" si="22"/>
        <v>0</v>
      </c>
      <c r="K36" s="93">
        <f t="shared" si="23"/>
        <v>0</v>
      </c>
      <c r="L36" s="86">
        <v>0</v>
      </c>
      <c r="M36" s="87">
        <f t="shared" si="24"/>
        <v>0</v>
      </c>
      <c r="N36" s="93">
        <f t="shared" si="25"/>
        <v>0</v>
      </c>
      <c r="O36" s="86">
        <v>0</v>
      </c>
      <c r="P36" s="87">
        <f t="shared" si="26"/>
        <v>0</v>
      </c>
      <c r="Q36" s="86">
        <v>0</v>
      </c>
      <c r="R36" s="87">
        <f t="shared" si="27"/>
        <v>0</v>
      </c>
      <c r="S36" s="93">
        <f t="shared" si="28"/>
        <v>0</v>
      </c>
      <c r="T36" s="88">
        <v>0</v>
      </c>
      <c r="U36" s="89">
        <f t="shared" si="29"/>
        <v>0</v>
      </c>
      <c r="V36" s="88">
        <v>0.2</v>
      </c>
      <c r="W36" s="89">
        <f t="shared" si="34"/>
        <v>20000</v>
      </c>
      <c r="X36" s="93">
        <f t="shared" si="30"/>
        <v>20000</v>
      </c>
      <c r="Y36" s="88">
        <v>0.7</v>
      </c>
      <c r="Z36" s="89">
        <f t="shared" si="17"/>
        <v>70000</v>
      </c>
      <c r="AA36" s="93">
        <f t="shared" si="31"/>
        <v>70000</v>
      </c>
      <c r="AB36" s="81">
        <f t="shared" si="32"/>
        <v>0</v>
      </c>
      <c r="AC36" s="82">
        <f t="shared" si="33"/>
        <v>1</v>
      </c>
      <c r="AD36" s="159">
        <f t="shared" si="18"/>
        <v>70000</v>
      </c>
    </row>
    <row r="37" spans="1:30" x14ac:dyDescent="0.25">
      <c r="A37" s="46" t="s">
        <v>321</v>
      </c>
      <c r="B37" s="90">
        <v>451820</v>
      </c>
      <c r="C37" s="91">
        <v>0</v>
      </c>
      <c r="D37" s="85">
        <f t="shared" si="19"/>
        <v>0</v>
      </c>
      <c r="E37" s="122">
        <v>0</v>
      </c>
      <c r="F37" s="123">
        <f t="shared" si="20"/>
        <v>0</v>
      </c>
      <c r="G37" s="122">
        <v>0</v>
      </c>
      <c r="H37" s="123">
        <f t="shared" si="21"/>
        <v>0</v>
      </c>
      <c r="I37" s="122">
        <v>0</v>
      </c>
      <c r="J37" s="123">
        <f t="shared" si="22"/>
        <v>0</v>
      </c>
      <c r="K37" s="93">
        <f t="shared" si="23"/>
        <v>0</v>
      </c>
      <c r="L37" s="86">
        <v>0</v>
      </c>
      <c r="M37" s="87">
        <f t="shared" si="24"/>
        <v>0</v>
      </c>
      <c r="N37" s="93">
        <f t="shared" si="25"/>
        <v>0</v>
      </c>
      <c r="O37" s="86">
        <v>0</v>
      </c>
      <c r="P37" s="87">
        <f t="shared" si="26"/>
        <v>0</v>
      </c>
      <c r="Q37" s="86">
        <v>0</v>
      </c>
      <c r="R37" s="87">
        <f t="shared" si="27"/>
        <v>0</v>
      </c>
      <c r="S37" s="93">
        <f t="shared" si="28"/>
        <v>0</v>
      </c>
      <c r="T37" s="88">
        <v>0</v>
      </c>
      <c r="U37" s="89">
        <f t="shared" si="29"/>
        <v>0</v>
      </c>
      <c r="V37" s="88">
        <v>0</v>
      </c>
      <c r="W37" s="89">
        <f t="shared" si="34"/>
        <v>0</v>
      </c>
      <c r="X37" s="93">
        <f t="shared" si="30"/>
        <v>0</v>
      </c>
      <c r="Y37" s="88">
        <v>1</v>
      </c>
      <c r="Z37" s="89">
        <f t="shared" si="17"/>
        <v>451820</v>
      </c>
      <c r="AA37" s="93">
        <f t="shared" si="31"/>
        <v>451820</v>
      </c>
      <c r="AB37" s="81">
        <f t="shared" si="32"/>
        <v>0</v>
      </c>
      <c r="AC37" s="82">
        <f t="shared" si="33"/>
        <v>1</v>
      </c>
      <c r="AD37" s="159">
        <f t="shared" si="18"/>
        <v>451820</v>
      </c>
    </row>
    <row r="38" spans="1:30" x14ac:dyDescent="0.25">
      <c r="A38" s="46" t="s">
        <v>191</v>
      </c>
      <c r="B38" s="90">
        <v>386173</v>
      </c>
      <c r="C38" s="91">
        <v>0.1</v>
      </c>
      <c r="D38" s="85">
        <f t="shared" si="19"/>
        <v>38617.300000000003</v>
      </c>
      <c r="E38" s="122">
        <v>0</v>
      </c>
      <c r="F38" s="123">
        <f t="shared" si="20"/>
        <v>0</v>
      </c>
      <c r="G38" s="122">
        <v>0</v>
      </c>
      <c r="H38" s="123">
        <f t="shared" si="21"/>
        <v>0</v>
      </c>
      <c r="I38" s="122">
        <v>0</v>
      </c>
      <c r="J38" s="123">
        <f t="shared" si="22"/>
        <v>0</v>
      </c>
      <c r="K38" s="93">
        <f t="shared" si="23"/>
        <v>0</v>
      </c>
      <c r="L38" s="86">
        <v>0.01</v>
      </c>
      <c r="M38" s="87">
        <f t="shared" si="24"/>
        <v>3861.73</v>
      </c>
      <c r="N38" s="93">
        <f t="shared" si="25"/>
        <v>3861.73</v>
      </c>
      <c r="O38" s="86">
        <v>0.05</v>
      </c>
      <c r="P38" s="87">
        <f t="shared" si="26"/>
        <v>19308.650000000001</v>
      </c>
      <c r="Q38" s="86">
        <v>0.1</v>
      </c>
      <c r="R38" s="87">
        <f t="shared" si="27"/>
        <v>38617.300000000003</v>
      </c>
      <c r="S38" s="93">
        <f t="shared" si="28"/>
        <v>57925.950000000004</v>
      </c>
      <c r="T38" s="88">
        <v>0.02</v>
      </c>
      <c r="U38" s="89">
        <f t="shared" si="29"/>
        <v>7723.46</v>
      </c>
      <c r="V38" s="88">
        <v>0.4</v>
      </c>
      <c r="W38" s="89">
        <f t="shared" si="34"/>
        <v>154469.20000000001</v>
      </c>
      <c r="X38" s="93">
        <f t="shared" si="30"/>
        <v>162192.66</v>
      </c>
      <c r="Y38" s="88">
        <v>0.32</v>
      </c>
      <c r="Z38" s="89">
        <f t="shared" si="17"/>
        <v>123575.36</v>
      </c>
      <c r="AA38" s="93">
        <f t="shared" si="31"/>
        <v>123575.36</v>
      </c>
      <c r="AB38" s="81">
        <f t="shared" si="32"/>
        <v>0</v>
      </c>
      <c r="AC38" s="82">
        <f t="shared" si="33"/>
        <v>1</v>
      </c>
      <c r="AD38" s="159">
        <f t="shared" si="18"/>
        <v>181501.31</v>
      </c>
    </row>
    <row r="39" spans="1:30" x14ac:dyDescent="0.25">
      <c r="A39" s="46" t="s">
        <v>269</v>
      </c>
      <c r="B39" s="90">
        <v>594328</v>
      </c>
      <c r="C39" s="91">
        <v>0</v>
      </c>
      <c r="D39" s="85">
        <f t="shared" si="19"/>
        <v>0</v>
      </c>
      <c r="E39" s="122">
        <v>0</v>
      </c>
      <c r="F39" s="123">
        <f t="shared" si="20"/>
        <v>0</v>
      </c>
      <c r="G39" s="122">
        <v>0</v>
      </c>
      <c r="H39" s="123">
        <f t="shared" si="21"/>
        <v>0</v>
      </c>
      <c r="I39" s="122">
        <v>0</v>
      </c>
      <c r="J39" s="123">
        <f t="shared" si="22"/>
        <v>0</v>
      </c>
      <c r="K39" s="93">
        <f t="shared" si="23"/>
        <v>0</v>
      </c>
      <c r="L39" s="86">
        <v>0</v>
      </c>
      <c r="M39" s="87">
        <f t="shared" si="24"/>
        <v>0</v>
      </c>
      <c r="N39" s="93">
        <f t="shared" si="25"/>
        <v>0</v>
      </c>
      <c r="O39" s="86">
        <v>0</v>
      </c>
      <c r="P39" s="87">
        <f t="shared" si="26"/>
        <v>0</v>
      </c>
      <c r="Q39" s="86">
        <v>1</v>
      </c>
      <c r="R39" s="87">
        <f t="shared" si="27"/>
        <v>594328</v>
      </c>
      <c r="S39" s="93">
        <f t="shared" si="28"/>
        <v>594328</v>
      </c>
      <c r="T39" s="88">
        <v>0</v>
      </c>
      <c r="U39" s="89">
        <f t="shared" si="29"/>
        <v>0</v>
      </c>
      <c r="V39" s="88">
        <v>0</v>
      </c>
      <c r="W39" s="89">
        <f t="shared" si="34"/>
        <v>0</v>
      </c>
      <c r="X39" s="93">
        <f t="shared" si="30"/>
        <v>0</v>
      </c>
      <c r="Y39" s="88">
        <v>0</v>
      </c>
      <c r="Z39" s="89">
        <f t="shared" si="17"/>
        <v>0</v>
      </c>
      <c r="AA39" s="93">
        <f t="shared" si="31"/>
        <v>0</v>
      </c>
      <c r="AB39" s="81">
        <f t="shared" si="32"/>
        <v>0</v>
      </c>
      <c r="AC39" s="82">
        <f t="shared" si="33"/>
        <v>1</v>
      </c>
      <c r="AD39" s="159">
        <f t="shared" si="18"/>
        <v>594328</v>
      </c>
    </row>
    <row r="40" spans="1:30" x14ac:dyDescent="0.25">
      <c r="A40" s="46" t="s">
        <v>192</v>
      </c>
      <c r="B40" s="90">
        <f>111655+500+5546+319000</f>
        <v>436701</v>
      </c>
      <c r="C40" s="91">
        <v>0.1</v>
      </c>
      <c r="D40" s="85">
        <f t="shared" si="19"/>
        <v>43670.100000000006</v>
      </c>
      <c r="E40" s="122">
        <v>0</v>
      </c>
      <c r="F40" s="123">
        <f t="shared" si="20"/>
        <v>0</v>
      </c>
      <c r="G40" s="122">
        <v>0</v>
      </c>
      <c r="H40" s="123">
        <f t="shared" si="21"/>
        <v>0</v>
      </c>
      <c r="I40" s="122">
        <v>0</v>
      </c>
      <c r="J40" s="123">
        <f t="shared" si="22"/>
        <v>0</v>
      </c>
      <c r="K40" s="93">
        <f t="shared" si="23"/>
        <v>0</v>
      </c>
      <c r="L40" s="86">
        <v>0.01</v>
      </c>
      <c r="M40" s="87">
        <f t="shared" si="24"/>
        <v>4367.01</v>
      </c>
      <c r="N40" s="93">
        <f t="shared" si="25"/>
        <v>4367.01</v>
      </c>
      <c r="O40" s="86">
        <v>0.1</v>
      </c>
      <c r="P40" s="87">
        <f t="shared" si="26"/>
        <v>43670.100000000006</v>
      </c>
      <c r="Q40" s="86">
        <v>0.1</v>
      </c>
      <c r="R40" s="87">
        <f t="shared" si="27"/>
        <v>43670.100000000006</v>
      </c>
      <c r="S40" s="93">
        <f t="shared" si="28"/>
        <v>87340.200000000012</v>
      </c>
      <c r="T40" s="88">
        <v>0.1</v>
      </c>
      <c r="U40" s="89">
        <f t="shared" si="29"/>
        <v>43670.100000000006</v>
      </c>
      <c r="V40" s="88">
        <v>0.59</v>
      </c>
      <c r="W40" s="89">
        <f t="shared" si="34"/>
        <v>257653.59</v>
      </c>
      <c r="X40" s="93">
        <f t="shared" si="30"/>
        <v>301323.69</v>
      </c>
      <c r="Y40" s="88">
        <v>0</v>
      </c>
      <c r="Z40" s="89">
        <f t="shared" si="17"/>
        <v>0</v>
      </c>
      <c r="AA40" s="93">
        <f t="shared" si="31"/>
        <v>0</v>
      </c>
      <c r="AB40" s="81">
        <f t="shared" si="32"/>
        <v>0</v>
      </c>
      <c r="AC40" s="82">
        <f t="shared" si="33"/>
        <v>1</v>
      </c>
      <c r="AD40" s="159">
        <f t="shared" si="18"/>
        <v>87340.200000000012</v>
      </c>
    </row>
    <row r="41" spans="1:30" x14ac:dyDescent="0.25">
      <c r="A41" s="46" t="s">
        <v>247</v>
      </c>
      <c r="B41" s="90">
        <f>71607+74544+31000</f>
        <v>177151</v>
      </c>
      <c r="C41" s="91">
        <v>0.1</v>
      </c>
      <c r="D41" s="85">
        <f t="shared" si="19"/>
        <v>17715.100000000002</v>
      </c>
      <c r="E41" s="122">
        <v>0</v>
      </c>
      <c r="F41" s="123">
        <f t="shared" si="20"/>
        <v>0</v>
      </c>
      <c r="G41" s="122">
        <v>0</v>
      </c>
      <c r="H41" s="123">
        <f t="shared" si="21"/>
        <v>0</v>
      </c>
      <c r="I41" s="122">
        <v>0</v>
      </c>
      <c r="J41" s="123">
        <f t="shared" si="22"/>
        <v>0</v>
      </c>
      <c r="K41" s="93">
        <f t="shared" si="23"/>
        <v>0</v>
      </c>
      <c r="L41" s="86">
        <v>0.01</v>
      </c>
      <c r="M41" s="87">
        <f t="shared" si="24"/>
        <v>1771.51</v>
      </c>
      <c r="N41" s="93">
        <f t="shared" si="25"/>
        <v>1771.51</v>
      </c>
      <c r="O41" s="86">
        <v>0.1</v>
      </c>
      <c r="P41" s="87">
        <f t="shared" si="26"/>
        <v>17715.100000000002</v>
      </c>
      <c r="Q41" s="86">
        <v>0.1</v>
      </c>
      <c r="R41" s="87">
        <f t="shared" si="27"/>
        <v>17715.100000000002</v>
      </c>
      <c r="S41" s="93">
        <f t="shared" si="28"/>
        <v>35430.200000000004</v>
      </c>
      <c r="T41" s="88">
        <v>0.1</v>
      </c>
      <c r="U41" s="89">
        <f t="shared" si="29"/>
        <v>17715.100000000002</v>
      </c>
      <c r="V41" s="88">
        <v>0.59</v>
      </c>
      <c r="W41" s="89">
        <f t="shared" si="34"/>
        <v>104519.09</v>
      </c>
      <c r="X41" s="93">
        <f t="shared" si="30"/>
        <v>122234.19</v>
      </c>
      <c r="Y41" s="88">
        <v>0</v>
      </c>
      <c r="Z41" s="89">
        <f t="shared" si="17"/>
        <v>0</v>
      </c>
      <c r="AA41" s="93">
        <f t="shared" si="31"/>
        <v>0</v>
      </c>
      <c r="AB41" s="81">
        <f t="shared" si="32"/>
        <v>0</v>
      </c>
      <c r="AC41" s="82">
        <f t="shared" si="33"/>
        <v>1</v>
      </c>
      <c r="AD41" s="159">
        <f t="shared" si="18"/>
        <v>35430.200000000004</v>
      </c>
    </row>
    <row r="42" spans="1:30" x14ac:dyDescent="0.25">
      <c r="A42" s="46" t="s">
        <v>48</v>
      </c>
      <c r="B42" s="90">
        <f>14000+67500+39000+22000+8000</f>
        <v>150500</v>
      </c>
      <c r="C42" s="91">
        <v>0.1</v>
      </c>
      <c r="D42" s="85">
        <f t="shared" si="19"/>
        <v>15050</v>
      </c>
      <c r="E42" s="122">
        <v>0</v>
      </c>
      <c r="F42" s="123">
        <f t="shared" si="20"/>
        <v>0</v>
      </c>
      <c r="G42" s="122">
        <v>0</v>
      </c>
      <c r="H42" s="123">
        <f t="shared" si="21"/>
        <v>0</v>
      </c>
      <c r="I42" s="122">
        <v>0</v>
      </c>
      <c r="J42" s="123">
        <f t="shared" si="22"/>
        <v>0</v>
      </c>
      <c r="K42" s="93">
        <f t="shared" si="23"/>
        <v>0</v>
      </c>
      <c r="L42" s="86">
        <v>0.01</v>
      </c>
      <c r="M42" s="87">
        <f t="shared" si="24"/>
        <v>1505</v>
      </c>
      <c r="N42" s="93">
        <f t="shared" si="25"/>
        <v>1505</v>
      </c>
      <c r="O42" s="86">
        <v>0.1</v>
      </c>
      <c r="P42" s="87">
        <f t="shared" si="26"/>
        <v>15050</v>
      </c>
      <c r="Q42" s="86">
        <v>0.1</v>
      </c>
      <c r="R42" s="87">
        <f t="shared" si="27"/>
        <v>15050</v>
      </c>
      <c r="S42" s="93">
        <f t="shared" si="28"/>
        <v>30100</v>
      </c>
      <c r="T42" s="88">
        <v>0.1</v>
      </c>
      <c r="U42" s="89">
        <f t="shared" si="29"/>
        <v>15050</v>
      </c>
      <c r="V42" s="88">
        <v>0.59</v>
      </c>
      <c r="W42" s="89">
        <f t="shared" si="34"/>
        <v>88795</v>
      </c>
      <c r="X42" s="93">
        <f t="shared" si="30"/>
        <v>103845</v>
      </c>
      <c r="Y42" s="88">
        <v>0</v>
      </c>
      <c r="Z42" s="89">
        <f t="shared" si="17"/>
        <v>0</v>
      </c>
      <c r="AA42" s="93">
        <f t="shared" si="31"/>
        <v>0</v>
      </c>
      <c r="AB42" s="81">
        <f t="shared" si="32"/>
        <v>0</v>
      </c>
      <c r="AC42" s="82">
        <f t="shared" si="33"/>
        <v>1</v>
      </c>
      <c r="AD42" s="159">
        <f t="shared" si="18"/>
        <v>30100</v>
      </c>
    </row>
    <row r="43" spans="1:30" x14ac:dyDescent="0.25">
      <c r="A43" s="46" t="s">
        <v>49</v>
      </c>
      <c r="B43" s="90"/>
      <c r="C43" s="91">
        <v>0.1</v>
      </c>
      <c r="D43" s="85">
        <f t="shared" si="19"/>
        <v>0</v>
      </c>
      <c r="E43" s="122">
        <v>0</v>
      </c>
      <c r="F43" s="123">
        <f t="shared" si="20"/>
        <v>0</v>
      </c>
      <c r="G43" s="122">
        <v>0</v>
      </c>
      <c r="H43" s="123">
        <f t="shared" si="21"/>
        <v>0</v>
      </c>
      <c r="I43" s="122">
        <v>0</v>
      </c>
      <c r="J43" s="123">
        <f t="shared" si="22"/>
        <v>0</v>
      </c>
      <c r="K43" s="93">
        <f t="shared" si="23"/>
        <v>0</v>
      </c>
      <c r="L43" s="86">
        <v>0.01</v>
      </c>
      <c r="M43" s="87">
        <f t="shared" si="24"/>
        <v>0</v>
      </c>
      <c r="N43" s="93">
        <f t="shared" si="25"/>
        <v>0</v>
      </c>
      <c r="O43" s="86">
        <v>0.1</v>
      </c>
      <c r="P43" s="87">
        <f t="shared" si="26"/>
        <v>0</v>
      </c>
      <c r="Q43" s="86">
        <v>0.2</v>
      </c>
      <c r="R43" s="87">
        <f t="shared" si="27"/>
        <v>0</v>
      </c>
      <c r="S43" s="93">
        <f t="shared" si="28"/>
        <v>0</v>
      </c>
      <c r="T43" s="88">
        <v>0.1</v>
      </c>
      <c r="U43" s="89">
        <f t="shared" si="29"/>
        <v>0</v>
      </c>
      <c r="V43" s="88">
        <v>0.49</v>
      </c>
      <c r="W43" s="89">
        <f t="shared" si="34"/>
        <v>0</v>
      </c>
      <c r="X43" s="93">
        <f t="shared" si="30"/>
        <v>0</v>
      </c>
      <c r="Y43" s="88">
        <v>0</v>
      </c>
      <c r="Z43" s="89">
        <f t="shared" si="17"/>
        <v>0</v>
      </c>
      <c r="AA43" s="93">
        <f t="shared" si="31"/>
        <v>0</v>
      </c>
      <c r="AB43" s="81">
        <f t="shared" si="32"/>
        <v>0</v>
      </c>
      <c r="AC43" s="82">
        <f t="shared" si="33"/>
        <v>1</v>
      </c>
      <c r="AD43" s="159">
        <f t="shared" si="18"/>
        <v>0</v>
      </c>
    </row>
    <row r="44" spans="1:30" x14ac:dyDescent="0.25">
      <c r="A44" s="46" t="s">
        <v>193</v>
      </c>
      <c r="B44" s="90">
        <v>966789</v>
      </c>
      <c r="C44" s="91">
        <v>0</v>
      </c>
      <c r="D44" s="85">
        <f t="shared" si="19"/>
        <v>0</v>
      </c>
      <c r="E44" s="122">
        <v>0</v>
      </c>
      <c r="F44" s="123">
        <f t="shared" si="20"/>
        <v>0</v>
      </c>
      <c r="G44" s="122">
        <v>0</v>
      </c>
      <c r="H44" s="123">
        <f t="shared" si="21"/>
        <v>0</v>
      </c>
      <c r="I44" s="122">
        <v>0</v>
      </c>
      <c r="J44" s="123">
        <f t="shared" si="22"/>
        <v>0</v>
      </c>
      <c r="K44" s="93">
        <f t="shared" si="23"/>
        <v>0</v>
      </c>
      <c r="L44" s="86">
        <v>0</v>
      </c>
      <c r="M44" s="87">
        <f t="shared" si="24"/>
        <v>0</v>
      </c>
      <c r="N44" s="93">
        <f t="shared" si="25"/>
        <v>0</v>
      </c>
      <c r="O44" s="86">
        <v>0</v>
      </c>
      <c r="P44" s="87">
        <f t="shared" si="26"/>
        <v>0</v>
      </c>
      <c r="Q44" s="86">
        <v>1</v>
      </c>
      <c r="R44" s="87">
        <f t="shared" si="27"/>
        <v>966789</v>
      </c>
      <c r="S44" s="93">
        <f t="shared" si="28"/>
        <v>966789</v>
      </c>
      <c r="T44" s="88">
        <v>0</v>
      </c>
      <c r="U44" s="89">
        <f t="shared" si="29"/>
        <v>0</v>
      </c>
      <c r="V44" s="88">
        <v>0</v>
      </c>
      <c r="W44" s="89">
        <f t="shared" si="34"/>
        <v>0</v>
      </c>
      <c r="X44" s="93">
        <f t="shared" si="30"/>
        <v>0</v>
      </c>
      <c r="Y44" s="88">
        <v>0</v>
      </c>
      <c r="Z44" s="89">
        <f t="shared" si="17"/>
        <v>0</v>
      </c>
      <c r="AA44" s="93">
        <f t="shared" si="31"/>
        <v>0</v>
      </c>
      <c r="AB44" s="81">
        <f t="shared" si="32"/>
        <v>0</v>
      </c>
      <c r="AC44" s="82">
        <f t="shared" si="33"/>
        <v>1</v>
      </c>
      <c r="AD44" s="159">
        <f t="shared" si="18"/>
        <v>966789</v>
      </c>
    </row>
    <row r="45" spans="1:30" x14ac:dyDescent="0.25">
      <c r="A45" s="46" t="s">
        <v>213</v>
      </c>
      <c r="B45" s="90">
        <v>3900000</v>
      </c>
      <c r="C45" s="91">
        <v>0</v>
      </c>
      <c r="D45" s="85">
        <f t="shared" si="19"/>
        <v>0</v>
      </c>
      <c r="E45" s="122">
        <v>0</v>
      </c>
      <c r="F45" s="123">
        <f t="shared" si="20"/>
        <v>0</v>
      </c>
      <c r="G45" s="122">
        <v>0</v>
      </c>
      <c r="H45" s="123">
        <f t="shared" si="21"/>
        <v>0</v>
      </c>
      <c r="I45" s="122">
        <v>0</v>
      </c>
      <c r="J45" s="123">
        <f t="shared" si="22"/>
        <v>0</v>
      </c>
      <c r="K45" s="93">
        <f t="shared" si="23"/>
        <v>0</v>
      </c>
      <c r="L45" s="86">
        <v>1</v>
      </c>
      <c r="M45" s="87">
        <f t="shared" si="24"/>
        <v>3900000</v>
      </c>
      <c r="N45" s="93">
        <f t="shared" si="25"/>
        <v>3900000</v>
      </c>
      <c r="O45" s="86">
        <v>0</v>
      </c>
      <c r="P45" s="87">
        <f t="shared" si="26"/>
        <v>0</v>
      </c>
      <c r="Q45" s="86">
        <v>0</v>
      </c>
      <c r="R45" s="87">
        <f t="shared" si="27"/>
        <v>0</v>
      </c>
      <c r="S45" s="93">
        <f t="shared" si="28"/>
        <v>0</v>
      </c>
      <c r="T45" s="88">
        <v>0</v>
      </c>
      <c r="U45" s="89">
        <f t="shared" si="29"/>
        <v>0</v>
      </c>
      <c r="V45" s="88">
        <v>0</v>
      </c>
      <c r="W45" s="89">
        <f t="shared" si="34"/>
        <v>0</v>
      </c>
      <c r="X45" s="93">
        <f t="shared" si="30"/>
        <v>0</v>
      </c>
      <c r="Y45" s="88">
        <v>0</v>
      </c>
      <c r="Z45" s="89">
        <f t="shared" si="17"/>
        <v>0</v>
      </c>
      <c r="AA45" s="93">
        <f t="shared" si="31"/>
        <v>0</v>
      </c>
      <c r="AB45" s="81">
        <f t="shared" si="32"/>
        <v>0</v>
      </c>
      <c r="AC45" s="82">
        <f t="shared" si="33"/>
        <v>1</v>
      </c>
      <c r="AD45" s="159">
        <f t="shared" si="18"/>
        <v>0</v>
      </c>
    </row>
    <row r="46" spans="1:30" x14ac:dyDescent="0.25">
      <c r="A46" s="46" t="s">
        <v>264</v>
      </c>
      <c r="B46" s="90">
        <f>10404000+508500</f>
        <v>10912500</v>
      </c>
      <c r="C46" s="91">
        <v>0</v>
      </c>
      <c r="D46" s="85">
        <f t="shared" si="19"/>
        <v>0</v>
      </c>
      <c r="E46" s="122">
        <v>0</v>
      </c>
      <c r="F46" s="123">
        <f t="shared" si="20"/>
        <v>0</v>
      </c>
      <c r="G46" s="122">
        <v>0</v>
      </c>
      <c r="H46" s="123">
        <f t="shared" si="21"/>
        <v>0</v>
      </c>
      <c r="I46" s="122">
        <v>0</v>
      </c>
      <c r="J46" s="123">
        <f t="shared" si="22"/>
        <v>0</v>
      </c>
      <c r="K46" s="93">
        <f t="shared" si="23"/>
        <v>0</v>
      </c>
      <c r="L46" s="86">
        <v>1</v>
      </c>
      <c r="M46" s="87">
        <f t="shared" si="24"/>
        <v>10912500</v>
      </c>
      <c r="N46" s="93">
        <f t="shared" si="25"/>
        <v>10912500</v>
      </c>
      <c r="O46" s="86">
        <v>0</v>
      </c>
      <c r="P46" s="87">
        <f t="shared" si="26"/>
        <v>0</v>
      </c>
      <c r="Q46" s="86">
        <v>0</v>
      </c>
      <c r="R46" s="87">
        <f t="shared" si="27"/>
        <v>0</v>
      </c>
      <c r="S46" s="93">
        <f t="shared" si="28"/>
        <v>0</v>
      </c>
      <c r="T46" s="88">
        <v>0</v>
      </c>
      <c r="U46" s="89">
        <f t="shared" si="29"/>
        <v>0</v>
      </c>
      <c r="V46" s="88">
        <v>0</v>
      </c>
      <c r="W46" s="89">
        <f t="shared" si="34"/>
        <v>0</v>
      </c>
      <c r="X46" s="93">
        <f t="shared" si="30"/>
        <v>0</v>
      </c>
      <c r="Y46" s="88">
        <v>0</v>
      </c>
      <c r="Z46" s="89">
        <f t="shared" si="17"/>
        <v>0</v>
      </c>
      <c r="AA46" s="93">
        <f t="shared" si="31"/>
        <v>0</v>
      </c>
      <c r="AB46" s="81">
        <f t="shared" si="32"/>
        <v>0</v>
      </c>
      <c r="AC46" s="82">
        <f t="shared" si="33"/>
        <v>1</v>
      </c>
      <c r="AD46" s="159">
        <f t="shared" si="18"/>
        <v>0</v>
      </c>
    </row>
    <row r="47" spans="1:30" x14ac:dyDescent="0.25">
      <c r="A47" s="46" t="s">
        <v>278</v>
      </c>
      <c r="B47" s="90"/>
      <c r="C47" s="91">
        <v>0</v>
      </c>
      <c r="D47" s="85">
        <f t="shared" si="19"/>
        <v>0</v>
      </c>
      <c r="E47" s="122">
        <v>0</v>
      </c>
      <c r="F47" s="123">
        <f t="shared" si="20"/>
        <v>0</v>
      </c>
      <c r="G47" s="122">
        <v>0</v>
      </c>
      <c r="H47" s="123">
        <f t="shared" si="21"/>
        <v>0</v>
      </c>
      <c r="I47" s="122">
        <v>0</v>
      </c>
      <c r="J47" s="123">
        <f t="shared" si="22"/>
        <v>0</v>
      </c>
      <c r="K47" s="93">
        <f t="shared" si="23"/>
        <v>0</v>
      </c>
      <c r="L47" s="86">
        <v>0</v>
      </c>
      <c r="M47" s="87">
        <f t="shared" si="24"/>
        <v>0</v>
      </c>
      <c r="N47" s="93">
        <f t="shared" si="25"/>
        <v>0</v>
      </c>
      <c r="O47" s="86">
        <v>0</v>
      </c>
      <c r="P47" s="87">
        <f t="shared" si="26"/>
        <v>0</v>
      </c>
      <c r="Q47" s="86">
        <v>0</v>
      </c>
      <c r="R47" s="87">
        <f t="shared" si="27"/>
        <v>0</v>
      </c>
      <c r="S47" s="93">
        <f t="shared" si="28"/>
        <v>0</v>
      </c>
      <c r="T47" s="88">
        <v>0</v>
      </c>
      <c r="U47" s="89">
        <f t="shared" si="29"/>
        <v>0</v>
      </c>
      <c r="V47" s="88">
        <v>0</v>
      </c>
      <c r="W47" s="89">
        <f t="shared" si="34"/>
        <v>0</v>
      </c>
      <c r="X47" s="93">
        <f t="shared" si="30"/>
        <v>0</v>
      </c>
      <c r="Y47" s="88">
        <v>1</v>
      </c>
      <c r="Z47" s="89">
        <f t="shared" si="17"/>
        <v>0</v>
      </c>
      <c r="AA47" s="93">
        <f t="shared" si="31"/>
        <v>0</v>
      </c>
      <c r="AB47" s="81">
        <f t="shared" si="32"/>
        <v>0</v>
      </c>
      <c r="AC47" s="82">
        <f t="shared" si="33"/>
        <v>1</v>
      </c>
      <c r="AD47" s="159">
        <f t="shared" si="18"/>
        <v>0</v>
      </c>
    </row>
    <row r="48" spans="1:30" x14ac:dyDescent="0.25">
      <c r="A48" s="46" t="s">
        <v>279</v>
      </c>
      <c r="B48" s="90"/>
      <c r="C48" s="91">
        <v>0</v>
      </c>
      <c r="D48" s="85">
        <f t="shared" si="19"/>
        <v>0</v>
      </c>
      <c r="E48" s="122">
        <v>0</v>
      </c>
      <c r="F48" s="123">
        <f t="shared" si="20"/>
        <v>0</v>
      </c>
      <c r="G48" s="122">
        <v>0</v>
      </c>
      <c r="H48" s="123">
        <f t="shared" si="21"/>
        <v>0</v>
      </c>
      <c r="I48" s="122">
        <v>0</v>
      </c>
      <c r="J48" s="123">
        <f t="shared" si="22"/>
        <v>0</v>
      </c>
      <c r="K48" s="93">
        <f t="shared" si="23"/>
        <v>0</v>
      </c>
      <c r="L48" s="86">
        <v>0</v>
      </c>
      <c r="M48" s="87">
        <f t="shared" si="24"/>
        <v>0</v>
      </c>
      <c r="N48" s="93">
        <f t="shared" si="25"/>
        <v>0</v>
      </c>
      <c r="O48" s="86">
        <v>0</v>
      </c>
      <c r="P48" s="87">
        <f t="shared" si="26"/>
        <v>0</v>
      </c>
      <c r="Q48" s="86">
        <v>0</v>
      </c>
      <c r="R48" s="87">
        <f t="shared" si="27"/>
        <v>0</v>
      </c>
      <c r="S48" s="93">
        <f t="shared" si="28"/>
        <v>0</v>
      </c>
      <c r="T48" s="88">
        <v>0</v>
      </c>
      <c r="U48" s="89">
        <v>0</v>
      </c>
      <c r="V48" s="88">
        <v>0</v>
      </c>
      <c r="W48" s="89">
        <f t="shared" si="34"/>
        <v>0</v>
      </c>
      <c r="X48" s="93">
        <f t="shared" si="30"/>
        <v>0</v>
      </c>
      <c r="Y48" s="88">
        <v>1</v>
      </c>
      <c r="Z48" s="89">
        <f t="shared" si="17"/>
        <v>0</v>
      </c>
      <c r="AA48" s="93">
        <f t="shared" si="31"/>
        <v>0</v>
      </c>
      <c r="AB48" s="81">
        <f t="shared" si="32"/>
        <v>0</v>
      </c>
      <c r="AC48" s="82">
        <f t="shared" si="33"/>
        <v>1</v>
      </c>
      <c r="AD48" s="159">
        <f t="shared" si="18"/>
        <v>0</v>
      </c>
    </row>
    <row r="49" spans="1:30" x14ac:dyDescent="0.25">
      <c r="A49" s="46" t="s">
        <v>232</v>
      </c>
      <c r="B49" s="90">
        <v>200000</v>
      </c>
      <c r="C49" s="91">
        <v>0</v>
      </c>
      <c r="D49" s="85">
        <f t="shared" si="19"/>
        <v>0</v>
      </c>
      <c r="E49" s="122">
        <v>0</v>
      </c>
      <c r="F49" s="123">
        <f t="shared" si="20"/>
        <v>0</v>
      </c>
      <c r="G49" s="122">
        <v>0</v>
      </c>
      <c r="H49" s="123">
        <f t="shared" si="21"/>
        <v>0</v>
      </c>
      <c r="I49" s="122">
        <v>0</v>
      </c>
      <c r="J49" s="123">
        <f t="shared" si="22"/>
        <v>0</v>
      </c>
      <c r="K49" s="93">
        <f t="shared" si="23"/>
        <v>0</v>
      </c>
      <c r="L49" s="86">
        <v>0</v>
      </c>
      <c r="M49" s="87">
        <f t="shared" si="24"/>
        <v>0</v>
      </c>
      <c r="N49" s="93">
        <f t="shared" si="25"/>
        <v>0</v>
      </c>
      <c r="O49" s="86">
        <v>0</v>
      </c>
      <c r="P49" s="87">
        <f t="shared" si="26"/>
        <v>0</v>
      </c>
      <c r="Q49" s="86">
        <v>0</v>
      </c>
      <c r="R49" s="87">
        <f t="shared" si="27"/>
        <v>0</v>
      </c>
      <c r="S49" s="93">
        <f t="shared" si="28"/>
        <v>0</v>
      </c>
      <c r="T49" s="88">
        <v>0</v>
      </c>
      <c r="U49" s="89">
        <f t="shared" si="29"/>
        <v>0</v>
      </c>
      <c r="V49" s="88">
        <v>0.5</v>
      </c>
      <c r="W49" s="89">
        <f t="shared" si="34"/>
        <v>100000</v>
      </c>
      <c r="X49" s="93">
        <f t="shared" si="30"/>
        <v>100000</v>
      </c>
      <c r="Y49" s="88">
        <v>0.5</v>
      </c>
      <c r="Z49" s="89">
        <f t="shared" si="17"/>
        <v>100000</v>
      </c>
      <c r="AA49" s="93">
        <f t="shared" si="31"/>
        <v>100000</v>
      </c>
      <c r="AB49" s="81">
        <f t="shared" si="32"/>
        <v>0</v>
      </c>
      <c r="AC49" s="82">
        <f t="shared" si="33"/>
        <v>1</v>
      </c>
      <c r="AD49" s="159">
        <f t="shared" si="18"/>
        <v>100000</v>
      </c>
    </row>
    <row r="50" spans="1:30" x14ac:dyDescent="0.25">
      <c r="A50" s="46" t="s">
        <v>70</v>
      </c>
      <c r="B50" s="90"/>
      <c r="C50" s="91">
        <v>0.1</v>
      </c>
      <c r="D50" s="85">
        <f t="shared" si="19"/>
        <v>0</v>
      </c>
      <c r="E50" s="122">
        <v>0</v>
      </c>
      <c r="F50" s="123">
        <f t="shared" si="20"/>
        <v>0</v>
      </c>
      <c r="G50" s="122">
        <v>0</v>
      </c>
      <c r="H50" s="123">
        <f t="shared" si="21"/>
        <v>0</v>
      </c>
      <c r="I50" s="122">
        <v>0</v>
      </c>
      <c r="J50" s="123">
        <f t="shared" si="22"/>
        <v>0</v>
      </c>
      <c r="K50" s="93">
        <f t="shared" si="23"/>
        <v>0</v>
      </c>
      <c r="L50" s="86">
        <v>0.01</v>
      </c>
      <c r="M50" s="87">
        <f t="shared" si="24"/>
        <v>0</v>
      </c>
      <c r="N50" s="93">
        <f t="shared" si="25"/>
        <v>0</v>
      </c>
      <c r="O50" s="86">
        <v>0.1</v>
      </c>
      <c r="P50" s="87">
        <f t="shared" si="26"/>
        <v>0</v>
      </c>
      <c r="Q50" s="86">
        <v>0.2</v>
      </c>
      <c r="R50" s="87">
        <f t="shared" si="27"/>
        <v>0</v>
      </c>
      <c r="S50" s="93">
        <f t="shared" si="28"/>
        <v>0</v>
      </c>
      <c r="T50" s="88">
        <v>0.1</v>
      </c>
      <c r="U50" s="89">
        <f t="shared" si="29"/>
        <v>0</v>
      </c>
      <c r="V50" s="88">
        <v>0.49</v>
      </c>
      <c r="W50" s="89">
        <f t="shared" si="34"/>
        <v>0</v>
      </c>
      <c r="X50" s="93">
        <f t="shared" si="30"/>
        <v>0</v>
      </c>
      <c r="Y50" s="88">
        <v>0</v>
      </c>
      <c r="Z50" s="89">
        <f t="shared" si="17"/>
        <v>0</v>
      </c>
      <c r="AA50" s="93">
        <f t="shared" si="31"/>
        <v>0</v>
      </c>
      <c r="AB50" s="81">
        <f t="shared" si="32"/>
        <v>0</v>
      </c>
      <c r="AC50" s="82">
        <f t="shared" si="33"/>
        <v>1</v>
      </c>
      <c r="AD50" s="159">
        <f t="shared" si="18"/>
        <v>0</v>
      </c>
    </row>
    <row r="51" spans="1:30" x14ac:dyDescent="0.25">
      <c r="A51" s="46" t="s">
        <v>181</v>
      </c>
      <c r="B51" s="92">
        <f>SUM(B16:B50)</f>
        <v>25548705</v>
      </c>
      <c r="C51" s="44"/>
      <c r="D51" s="93">
        <f>SUM(D16:D50)</f>
        <v>697922.10000000009</v>
      </c>
      <c r="E51" s="124"/>
      <c r="F51" s="125">
        <f>SUM(F16:F50)</f>
        <v>687101.04999999993</v>
      </c>
      <c r="G51" s="124"/>
      <c r="H51" s="125">
        <f>SUM(H16:H50)</f>
        <v>899180.65</v>
      </c>
      <c r="I51" s="124"/>
      <c r="J51" s="125">
        <f>SUM(J16:J50)</f>
        <v>60689.1</v>
      </c>
      <c r="K51" s="93">
        <f>+J51+H51+F51</f>
        <v>1646970.7999999998</v>
      </c>
      <c r="L51" s="44"/>
      <c r="M51" s="95">
        <f>SUM(M16:M50)</f>
        <v>14853197.85</v>
      </c>
      <c r="N51" s="93">
        <f>SUM(N16:N50)</f>
        <v>14853197.85</v>
      </c>
      <c r="O51" s="44"/>
      <c r="P51" s="95">
        <f>SUM(P16:P50)</f>
        <v>693752.15</v>
      </c>
      <c r="Q51" s="44"/>
      <c r="R51" s="95">
        <f>SUM(R16:R50)</f>
        <v>2123789.3000000003</v>
      </c>
      <c r="S51" s="93">
        <f>SUM(S16:S50)</f>
        <v>2817541.45</v>
      </c>
      <c r="T51" s="44"/>
      <c r="U51" s="94">
        <f>SUM(U16:U50)</f>
        <v>713432.30999999994</v>
      </c>
      <c r="V51" s="44"/>
      <c r="W51" s="94">
        <f>SUM(W16:W50)</f>
        <v>3348665.08</v>
      </c>
      <c r="X51" s="93">
        <f>SUM(X16:X50)</f>
        <v>4062097.3899999997</v>
      </c>
      <c r="Y51" s="79"/>
      <c r="Z51" s="94">
        <f>SUM(Z16:Z50)</f>
        <v>1470975.41</v>
      </c>
      <c r="AA51" s="93">
        <f>SUM(AA16:AA50)</f>
        <v>1470975.41</v>
      </c>
      <c r="AB51" s="81">
        <f t="shared" si="32"/>
        <v>0</v>
      </c>
      <c r="AC51" s="82">
        <f t="shared" si="33"/>
        <v>0</v>
      </c>
      <c r="AD51" s="159">
        <f>SUM(AD16:AD50)</f>
        <v>5935487.6600000001</v>
      </c>
    </row>
    <row r="54" spans="1:30" ht="30" x14ac:dyDescent="0.25">
      <c r="A54" s="71" t="s">
        <v>199</v>
      </c>
      <c r="B54" s="84" t="s">
        <v>180</v>
      </c>
      <c r="C54" s="74" t="s">
        <v>159</v>
      </c>
      <c r="D54" s="71" t="s">
        <v>176</v>
      </c>
      <c r="E54" s="106" t="s">
        <v>200</v>
      </c>
      <c r="F54" s="108" t="s">
        <v>176</v>
      </c>
      <c r="G54" s="80" t="s">
        <v>201</v>
      </c>
      <c r="H54" s="80" t="s">
        <v>202</v>
      </c>
      <c r="I54" s="99"/>
      <c r="J54" s="99"/>
      <c r="K54" s="99"/>
      <c r="L54" s="99"/>
      <c r="M54" s="99"/>
      <c r="N54" s="99"/>
      <c r="O54" s="99"/>
      <c r="P54" s="99"/>
      <c r="Q54" s="100"/>
      <c r="R54" s="100"/>
      <c r="S54" s="100"/>
      <c r="T54" s="99"/>
      <c r="U54" s="99"/>
      <c r="V54" s="100"/>
      <c r="W54" s="100"/>
      <c r="X54" s="100"/>
      <c r="Y54" s="100"/>
      <c r="Z54" s="100"/>
      <c r="AA54" s="100"/>
      <c r="AB54" s="101"/>
      <c r="AC54" s="101"/>
    </row>
    <row r="55" spans="1:30" x14ac:dyDescent="0.25">
      <c r="A55" s="46" t="s">
        <v>204</v>
      </c>
      <c r="B55" s="90">
        <v>8654976</v>
      </c>
      <c r="C55" s="91">
        <v>0.5</v>
      </c>
      <c r="D55" s="85">
        <f>+B55*C55</f>
        <v>4327488</v>
      </c>
      <c r="E55" s="107">
        <v>0.5</v>
      </c>
      <c r="F55" s="109">
        <f>+E55*B55</f>
        <v>4327488</v>
      </c>
      <c r="G55" s="110">
        <f>+C55+E55</f>
        <v>1</v>
      </c>
      <c r="H55" s="109">
        <f>+(F55+D55)-B55</f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30" x14ac:dyDescent="0.25">
      <c r="A56" s="46" t="s">
        <v>205</v>
      </c>
      <c r="B56" s="90"/>
      <c r="C56" s="91">
        <v>0.5</v>
      </c>
      <c r="D56" s="85">
        <f t="shared" ref="D56:D62" si="35">+B56*C56</f>
        <v>0</v>
      </c>
      <c r="E56" s="107">
        <v>0.5</v>
      </c>
      <c r="F56" s="109">
        <f t="shared" ref="F56:F62" si="36">+E56*B56</f>
        <v>0</v>
      </c>
      <c r="G56" s="110">
        <f t="shared" ref="G56:G63" si="37">+C56+E56</f>
        <v>1</v>
      </c>
      <c r="H56" s="109">
        <f t="shared" ref="H56:H63" si="38">+(F56+D56)-B56</f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30" x14ac:dyDescent="0.25">
      <c r="A57" s="46" t="s">
        <v>206</v>
      </c>
      <c r="B57" s="90">
        <v>1566000</v>
      </c>
      <c r="C57" s="91">
        <v>0.5</v>
      </c>
      <c r="D57" s="85">
        <f t="shared" si="35"/>
        <v>783000</v>
      </c>
      <c r="E57" s="107">
        <v>0.5</v>
      </c>
      <c r="F57" s="109">
        <f t="shared" si="36"/>
        <v>783000</v>
      </c>
      <c r="G57" s="110">
        <f t="shared" si="37"/>
        <v>1</v>
      </c>
      <c r="H57" s="109">
        <f t="shared" si="38"/>
        <v>0</v>
      </c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30" x14ac:dyDescent="0.25">
      <c r="A58" s="46" t="s">
        <v>209</v>
      </c>
      <c r="B58" s="90">
        <v>920000</v>
      </c>
      <c r="C58" s="91">
        <v>0.5</v>
      </c>
      <c r="D58" s="85">
        <f t="shared" si="35"/>
        <v>460000</v>
      </c>
      <c r="E58" s="107">
        <v>0.5</v>
      </c>
      <c r="F58" s="109">
        <f t="shared" si="36"/>
        <v>460000</v>
      </c>
      <c r="G58" s="110">
        <f t="shared" si="37"/>
        <v>1</v>
      </c>
      <c r="H58" s="109">
        <f t="shared" si="38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30" x14ac:dyDescent="0.25">
      <c r="A59" s="46" t="s">
        <v>210</v>
      </c>
      <c r="B59" s="90">
        <v>256000</v>
      </c>
      <c r="C59" s="91">
        <v>0.5</v>
      </c>
      <c r="D59" s="85">
        <f t="shared" si="35"/>
        <v>128000</v>
      </c>
      <c r="E59" s="107">
        <v>0.5</v>
      </c>
      <c r="F59" s="109">
        <f t="shared" si="36"/>
        <v>128000</v>
      </c>
      <c r="G59" s="110">
        <f t="shared" si="37"/>
        <v>1</v>
      </c>
      <c r="H59" s="109">
        <f t="shared" si="38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0" spans="1:30" x14ac:dyDescent="0.25">
      <c r="A60" s="46" t="s">
        <v>207</v>
      </c>
      <c r="B60" s="90">
        <v>20000</v>
      </c>
      <c r="C60" s="91">
        <v>0.5</v>
      </c>
      <c r="D60" s="85">
        <f t="shared" si="35"/>
        <v>10000</v>
      </c>
      <c r="E60" s="107">
        <v>0.5</v>
      </c>
      <c r="F60" s="109">
        <f t="shared" si="36"/>
        <v>10000</v>
      </c>
      <c r="G60" s="110">
        <f t="shared" si="37"/>
        <v>1</v>
      </c>
      <c r="H60" s="109">
        <f t="shared" si="38"/>
        <v>0</v>
      </c>
      <c r="I60" s="103"/>
      <c r="J60" s="102"/>
      <c r="K60" s="102"/>
      <c r="L60" s="103"/>
      <c r="M60" s="102"/>
      <c r="N60" s="102"/>
      <c r="O60" s="103"/>
      <c r="P60" s="102"/>
      <c r="Q60" s="103"/>
      <c r="R60" s="102"/>
      <c r="S60" s="102"/>
      <c r="T60" s="103"/>
      <c r="U60" s="102"/>
      <c r="V60" s="103"/>
      <c r="W60" s="102"/>
      <c r="X60" s="102"/>
      <c r="Y60" s="103"/>
      <c r="Z60" s="102"/>
      <c r="AA60" s="104"/>
      <c r="AB60" s="104"/>
      <c r="AC60" s="105"/>
    </row>
    <row r="61" spans="1:30" x14ac:dyDescent="0.25">
      <c r="A61" s="46" t="s">
        <v>208</v>
      </c>
      <c r="B61" s="90"/>
      <c r="C61" s="91">
        <v>0.5</v>
      </c>
      <c r="D61" s="85">
        <f t="shared" si="35"/>
        <v>0</v>
      </c>
      <c r="E61" s="107">
        <v>0.5</v>
      </c>
      <c r="F61" s="109">
        <f t="shared" si="36"/>
        <v>0</v>
      </c>
      <c r="G61" s="110">
        <f t="shared" si="37"/>
        <v>1</v>
      </c>
      <c r="H61" s="109">
        <f t="shared" si="38"/>
        <v>0</v>
      </c>
      <c r="I61" s="103"/>
      <c r="J61" s="102"/>
      <c r="K61" s="102"/>
      <c r="L61" s="103"/>
      <c r="M61" s="102"/>
      <c r="N61" s="102"/>
      <c r="O61" s="103"/>
      <c r="P61" s="102"/>
      <c r="Q61" s="103"/>
      <c r="R61" s="102"/>
      <c r="S61" s="102"/>
      <c r="T61" s="103"/>
      <c r="U61" s="102"/>
      <c r="V61" s="103"/>
      <c r="W61" s="102"/>
      <c r="X61" s="102"/>
      <c r="Y61" s="103"/>
      <c r="Z61" s="102"/>
      <c r="AA61" s="104"/>
      <c r="AB61" s="104"/>
      <c r="AC61" s="105"/>
    </row>
    <row r="62" spans="1:30" x14ac:dyDescent="0.25">
      <c r="A62" s="46" t="s">
        <v>70</v>
      </c>
      <c r="B62" s="90"/>
      <c r="C62" s="91">
        <v>0.5</v>
      </c>
      <c r="D62" s="85">
        <f t="shared" si="35"/>
        <v>0</v>
      </c>
      <c r="E62" s="107">
        <v>0.5</v>
      </c>
      <c r="F62" s="109">
        <f t="shared" si="36"/>
        <v>0</v>
      </c>
      <c r="G62" s="110">
        <f t="shared" si="37"/>
        <v>1</v>
      </c>
      <c r="H62" s="109">
        <f t="shared" si="38"/>
        <v>0</v>
      </c>
      <c r="I62" s="103"/>
      <c r="J62" s="102"/>
      <c r="K62" s="102"/>
      <c r="L62" s="103"/>
      <c r="M62" s="102"/>
      <c r="N62" s="102"/>
      <c r="O62" s="103"/>
      <c r="P62" s="102"/>
      <c r="Q62" s="103"/>
      <c r="R62" s="102"/>
      <c r="S62" s="102"/>
      <c r="T62" s="103"/>
      <c r="U62" s="102"/>
      <c r="V62" s="103"/>
      <c r="W62" s="102"/>
      <c r="X62" s="102"/>
      <c r="Y62" s="103"/>
      <c r="Z62" s="102"/>
      <c r="AA62" s="104"/>
      <c r="AB62" s="104"/>
      <c r="AC62" s="105"/>
    </row>
    <row r="63" spans="1:30" x14ac:dyDescent="0.25">
      <c r="A63" s="115" t="s">
        <v>203</v>
      </c>
      <c r="B63" s="111">
        <f>SUM(B55:B62)</f>
        <v>11416976</v>
      </c>
      <c r="C63" s="91"/>
      <c r="D63" s="93">
        <f>SUM(D55:D62)</f>
        <v>5708488</v>
      </c>
      <c r="E63" s="107"/>
      <c r="F63" s="112">
        <f>SUM(F55:F62)</f>
        <v>5708488</v>
      </c>
      <c r="G63" s="110">
        <f t="shared" si="37"/>
        <v>0</v>
      </c>
      <c r="H63" s="109">
        <f t="shared" si="38"/>
        <v>0</v>
      </c>
      <c r="I63" s="103"/>
      <c r="J63" s="102"/>
      <c r="K63" s="102"/>
      <c r="L63" s="103"/>
      <c r="M63" s="102"/>
      <c r="N63" s="102"/>
      <c r="O63" s="103"/>
      <c r="P63" s="102"/>
      <c r="Q63" s="103"/>
      <c r="R63" s="102"/>
      <c r="S63" s="102"/>
      <c r="T63" s="103"/>
      <c r="U63" s="102"/>
      <c r="V63" s="103"/>
      <c r="W63" s="102"/>
      <c r="X63" s="102"/>
      <c r="Y63" s="103"/>
      <c r="Z63" s="102"/>
      <c r="AA63" s="104"/>
      <c r="AB63" s="104"/>
      <c r="AC63" s="105"/>
    </row>
    <row r="65" spans="1:5" x14ac:dyDescent="0.25">
      <c r="A65" s="116" t="s">
        <v>211</v>
      </c>
      <c r="B65" s="117">
        <f>+B12+B51+B63</f>
        <v>58947951.592</v>
      </c>
    </row>
    <row r="67" spans="1:5" x14ac:dyDescent="0.25">
      <c r="A67" s="116" t="s">
        <v>327</v>
      </c>
    </row>
    <row r="68" spans="1:5" x14ac:dyDescent="0.25">
      <c r="A68" s="51" t="s">
        <v>10</v>
      </c>
      <c r="B68" s="52">
        <f>+D12+D51</f>
        <v>6163762.3487999998</v>
      </c>
    </row>
    <row r="69" spans="1:5" x14ac:dyDescent="0.25">
      <c r="A69" s="51" t="s">
        <v>228</v>
      </c>
      <c r="B69" s="52">
        <f>+K12+K51</f>
        <v>12177198.932799999</v>
      </c>
    </row>
    <row r="70" spans="1:5" x14ac:dyDescent="0.25">
      <c r="A70" s="51" t="s">
        <v>322</v>
      </c>
      <c r="B70" s="52">
        <f>+N12+N51</f>
        <v>14903436.565679999</v>
      </c>
    </row>
    <row r="71" spans="1:5" x14ac:dyDescent="0.25">
      <c r="A71" s="51" t="s">
        <v>323</v>
      </c>
      <c r="B71" s="52">
        <f>+P12+P51</f>
        <v>948509.58135999995</v>
      </c>
    </row>
    <row r="72" spans="1:5" x14ac:dyDescent="0.25">
      <c r="A72" s="51" t="s">
        <v>324</v>
      </c>
      <c r="B72" s="52">
        <f>+R12+R51</f>
        <v>2990175.7240000004</v>
      </c>
    </row>
    <row r="73" spans="1:5" x14ac:dyDescent="0.25">
      <c r="A73" s="51" t="s">
        <v>325</v>
      </c>
      <c r="B73" s="52">
        <f>+X12+AA12+X51+AA51</f>
        <v>10347892.43936</v>
      </c>
    </row>
    <row r="74" spans="1:5" x14ac:dyDescent="0.25">
      <c r="A74" s="51" t="s">
        <v>326</v>
      </c>
      <c r="B74" s="52">
        <f>+B63</f>
        <v>11416976</v>
      </c>
    </row>
    <row r="75" spans="1:5" x14ac:dyDescent="0.25">
      <c r="A75" s="116" t="s">
        <v>211</v>
      </c>
      <c r="B75" s="117">
        <f>SUM(B68:B74)</f>
        <v>58947951.591999993</v>
      </c>
    </row>
    <row r="76" spans="1:5" hidden="1" x14ac:dyDescent="0.25">
      <c r="A76" s="113" t="s">
        <v>196</v>
      </c>
      <c r="B76" s="114">
        <f>+B65-B75</f>
        <v>0</v>
      </c>
    </row>
    <row r="78" spans="1:5" x14ac:dyDescent="0.25">
      <c r="B78" s="162"/>
    </row>
    <row r="79" spans="1:5" x14ac:dyDescent="0.25">
      <c r="B79" s="162"/>
    </row>
    <row r="80" spans="1:5" x14ac:dyDescent="0.25">
      <c r="E80" s="162"/>
    </row>
  </sheetData>
  <mergeCells count="12">
    <mergeCell ref="AB2:AC2"/>
    <mergeCell ref="E3:F3"/>
    <mergeCell ref="G3:H3"/>
    <mergeCell ref="I3:J3"/>
    <mergeCell ref="L3:M3"/>
    <mergeCell ref="O3:P3"/>
    <mergeCell ref="A1:W1"/>
    <mergeCell ref="A2:B2"/>
    <mergeCell ref="C2:D2"/>
    <mergeCell ref="E2:K2"/>
    <mergeCell ref="L2:S2"/>
    <mergeCell ref="T2:AA2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21E438-B038-462B-8AD9-B3E127D047A7}">
  <dimension ref="A1:AE80"/>
  <sheetViews>
    <sheetView workbookViewId="0">
      <selection sqref="A1:XFD1048576"/>
    </sheetView>
  </sheetViews>
  <sheetFormatPr baseColWidth="10" defaultRowHeight="15" x14ac:dyDescent="0.25"/>
  <cols>
    <col min="1" max="1" width="44.42578125" customWidth="1"/>
    <col min="2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0" width="11.28515625" customWidth="1"/>
    <col min="11" max="11" width="13.42578125" customWidth="1"/>
    <col min="12" max="12" width="11" customWidth="1"/>
    <col min="13" max="14" width="14.7109375" customWidth="1"/>
    <col min="15" max="15" width="9.85546875" customWidth="1"/>
    <col min="16" max="16" width="10.85546875" customWidth="1"/>
    <col min="17" max="17" width="17.7109375" customWidth="1"/>
    <col min="18" max="18" width="10.7109375" customWidth="1"/>
    <col min="19" max="19" width="15.5703125" customWidth="1"/>
    <col min="20" max="20" width="14.140625" customWidth="1"/>
    <col min="22" max="22" width="13.7109375" customWidth="1"/>
    <col min="24" max="24" width="15.42578125" customWidth="1"/>
    <col min="25" max="25" width="12.85546875" customWidth="1"/>
    <col min="26" max="26" width="12.28515625" customWidth="1"/>
    <col min="27" max="27" width="15.140625" customWidth="1"/>
  </cols>
  <sheetData>
    <row r="1" spans="1:31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96"/>
      <c r="Y1" s="96"/>
      <c r="Z1" s="96"/>
      <c r="AA1" s="96"/>
    </row>
    <row r="2" spans="1:31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2"/>
      <c r="L2" s="337" t="s">
        <v>174</v>
      </c>
      <c r="M2" s="338"/>
      <c r="N2" s="338"/>
      <c r="O2" s="338"/>
      <c r="P2" s="338"/>
      <c r="Q2" s="338"/>
      <c r="R2" s="338"/>
      <c r="S2" s="339"/>
      <c r="T2" s="335" t="s">
        <v>195</v>
      </c>
      <c r="U2" s="335"/>
      <c r="V2" s="335"/>
      <c r="W2" s="335"/>
      <c r="X2" s="335"/>
      <c r="Y2" s="335"/>
      <c r="Z2" s="335"/>
      <c r="AA2" s="335"/>
      <c r="AB2" s="335" t="s">
        <v>196</v>
      </c>
      <c r="AC2" s="335"/>
    </row>
    <row r="3" spans="1:31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126" t="s">
        <v>225</v>
      </c>
      <c r="L3" s="333" t="s">
        <v>95</v>
      </c>
      <c r="M3" s="334"/>
      <c r="N3" s="126" t="s">
        <v>95</v>
      </c>
      <c r="O3" s="333" t="s">
        <v>96</v>
      </c>
      <c r="P3" s="334"/>
      <c r="Q3" s="72" t="s">
        <v>97</v>
      </c>
      <c r="R3" s="72"/>
      <c r="S3" s="69" t="s">
        <v>304</v>
      </c>
      <c r="T3" s="72" t="s">
        <v>98</v>
      </c>
      <c r="U3" s="72"/>
      <c r="V3" s="72" t="s">
        <v>99</v>
      </c>
      <c r="W3" s="72"/>
      <c r="X3" s="69" t="s">
        <v>297</v>
      </c>
      <c r="Y3" s="72" t="s">
        <v>100</v>
      </c>
      <c r="Z3" s="72"/>
      <c r="AA3" s="69" t="s">
        <v>100</v>
      </c>
      <c r="AB3" s="97"/>
      <c r="AC3" s="97"/>
    </row>
    <row r="4" spans="1:31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71" t="s">
        <v>223</v>
      </c>
      <c r="L4" s="75" t="s">
        <v>161</v>
      </c>
      <c r="M4" s="75" t="s">
        <v>176</v>
      </c>
      <c r="N4" s="71" t="s">
        <v>300</v>
      </c>
      <c r="O4" s="75" t="s">
        <v>162</v>
      </c>
      <c r="P4" s="75" t="s">
        <v>176</v>
      </c>
      <c r="Q4" s="76" t="s">
        <v>163</v>
      </c>
      <c r="R4" s="76" t="s">
        <v>176</v>
      </c>
      <c r="S4" s="71" t="s">
        <v>171</v>
      </c>
      <c r="T4" s="77" t="s">
        <v>164</v>
      </c>
      <c r="U4" s="77" t="s">
        <v>176</v>
      </c>
      <c r="V4" s="78" t="s">
        <v>165</v>
      </c>
      <c r="W4" s="78" t="s">
        <v>176</v>
      </c>
      <c r="X4" s="71" t="s">
        <v>301</v>
      </c>
      <c r="Y4" s="78" t="s">
        <v>194</v>
      </c>
      <c r="Z4" s="78" t="s">
        <v>176</v>
      </c>
      <c r="AA4" s="71" t="s">
        <v>172</v>
      </c>
      <c r="AB4" s="98" t="s">
        <v>178</v>
      </c>
      <c r="AC4" s="98" t="s">
        <v>179</v>
      </c>
    </row>
    <row r="5" spans="1:31" x14ac:dyDescent="0.25">
      <c r="A5" s="46" t="s">
        <v>67</v>
      </c>
      <c r="B5" s="90">
        <f>+' NOMINAS ENE-DIC'!I209+' NOMINAS ENE-DIC'!I219</f>
        <v>5023871.568</v>
      </c>
      <c r="C5" s="91">
        <f>+'%'!B4</f>
        <v>0.35</v>
      </c>
      <c r="D5" s="93">
        <f t="shared" ref="D5:D11" si="0">+B5*C5</f>
        <v>1758355.0488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93">
        <f t="shared" ref="K5:K11" si="4">+F5+H5+J5</f>
        <v>0</v>
      </c>
      <c r="L5" s="86">
        <f>+'%'!F4</f>
        <v>0.01</v>
      </c>
      <c r="M5" s="87">
        <f t="shared" ref="M5:M11" si="5">+L5*B5</f>
        <v>50238.715680000001</v>
      </c>
      <c r="N5" s="93">
        <f>+M5</f>
        <v>50238.715680000001</v>
      </c>
      <c r="O5" s="86">
        <f>+'%'!G4</f>
        <v>0.02</v>
      </c>
      <c r="P5" s="87">
        <f t="shared" ref="P5:P11" si="6">+O5*B5</f>
        <v>100477.43136</v>
      </c>
      <c r="Q5" s="86">
        <f>+'%'!H4</f>
        <v>0.05</v>
      </c>
      <c r="R5" s="87">
        <f t="shared" ref="R5:R11" si="7">+Q5*B5</f>
        <v>251193.5784</v>
      </c>
      <c r="S5" s="93">
        <f>+P5+R5</f>
        <v>351671.00975999999</v>
      </c>
      <c r="T5" s="88">
        <f>+'%'!I4</f>
        <v>0.2</v>
      </c>
      <c r="U5" s="89">
        <f t="shared" ref="U5:U11" si="8">+T5*B5</f>
        <v>1004774.3136</v>
      </c>
      <c r="V5" s="88">
        <f>+'%'!J4</f>
        <v>0.27</v>
      </c>
      <c r="W5" s="89">
        <f t="shared" ref="W5:W11" si="9">+V5*B5</f>
        <v>1356445.32336</v>
      </c>
      <c r="X5" s="93">
        <f>+U5+W5</f>
        <v>2361219.6369599998</v>
      </c>
      <c r="Y5" s="88">
        <f>+'%'!K4</f>
        <v>0.1</v>
      </c>
      <c r="Z5" s="89">
        <f t="shared" ref="Z5:Z11" si="10">+Y5*B5</f>
        <v>502387.1568</v>
      </c>
      <c r="AA5" s="93">
        <f>+Z5</f>
        <v>502387.1568</v>
      </c>
      <c r="AB5" s="81">
        <f>+(D5+K5+N5+S5+X5+AA5)-B5</f>
        <v>0</v>
      </c>
      <c r="AC5" s="82">
        <f t="shared" ref="AC5:AC12" si="11">+C5+E5+G5+I5+L5+O5+Q5+T5+V5+Y5</f>
        <v>1</v>
      </c>
      <c r="AE5" s="162"/>
    </row>
    <row r="6" spans="1:31" x14ac:dyDescent="0.25">
      <c r="A6" s="46" t="s">
        <v>74</v>
      </c>
      <c r="B6" s="90">
        <f>+' NOMINAS ENE-DIC'!I211+' NOMINAS ENE-DIC'!I221</f>
        <v>3539856.912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1415942.7648</v>
      </c>
      <c r="G6" s="122">
        <f>+'%'!D5</f>
        <v>0.6</v>
      </c>
      <c r="H6" s="123">
        <f t="shared" si="2"/>
        <v>2123914.1472</v>
      </c>
      <c r="I6" s="122">
        <f>+'%'!E5</f>
        <v>0</v>
      </c>
      <c r="J6" s="123">
        <f t="shared" si="3"/>
        <v>0</v>
      </c>
      <c r="K6" s="93">
        <f t="shared" si="4"/>
        <v>3539856.912</v>
      </c>
      <c r="L6" s="86">
        <f>+'%'!F5</f>
        <v>0</v>
      </c>
      <c r="M6" s="87">
        <f t="shared" si="5"/>
        <v>0</v>
      </c>
      <c r="N6" s="93">
        <f t="shared" ref="N6:N12" si="12">+M6</f>
        <v>0</v>
      </c>
      <c r="O6" s="86">
        <f>+'%'!G5</f>
        <v>0</v>
      </c>
      <c r="P6" s="87">
        <f t="shared" si="6"/>
        <v>0</v>
      </c>
      <c r="Q6" s="86">
        <f>+'%'!H5</f>
        <v>0</v>
      </c>
      <c r="R6" s="87">
        <f t="shared" si="7"/>
        <v>0</v>
      </c>
      <c r="S6" s="93">
        <f t="shared" ref="S6:S11" si="13">+P6+R6</f>
        <v>0</v>
      </c>
      <c r="T6" s="88">
        <f>+'%'!I5</f>
        <v>0</v>
      </c>
      <c r="U6" s="89">
        <f t="shared" si="8"/>
        <v>0</v>
      </c>
      <c r="V6" s="88">
        <f>+'%'!J5</f>
        <v>0</v>
      </c>
      <c r="W6" s="89">
        <f t="shared" si="9"/>
        <v>0</v>
      </c>
      <c r="X6" s="93">
        <f t="shared" ref="X6:X11" si="14">+U6+W6</f>
        <v>0</v>
      </c>
      <c r="Y6" s="88">
        <f>+'%'!K5</f>
        <v>0</v>
      </c>
      <c r="Z6" s="89">
        <f t="shared" si="10"/>
        <v>0</v>
      </c>
      <c r="AA6" s="93">
        <f t="shared" ref="AA6:AA11" si="15">+Z6</f>
        <v>0</v>
      </c>
      <c r="AB6" s="81">
        <f t="shared" ref="AB6:AB12" si="16">+(D6+K6+N6+S6+X6+AA6)-B6</f>
        <v>0</v>
      </c>
      <c r="AC6" s="82">
        <f t="shared" si="11"/>
        <v>1</v>
      </c>
      <c r="AE6" s="162"/>
    </row>
    <row r="7" spans="1:31" x14ac:dyDescent="0.25">
      <c r="A7" s="46" t="s">
        <v>109</v>
      </c>
      <c r="B7" s="90">
        <f>+' NOMINAS ENE-DIC'!I208+' NOMINAS ENE-DIC'!I218</f>
        <v>3539856.912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884964.228</v>
      </c>
      <c r="G7" s="122">
        <f>+'%'!D7</f>
        <v>0.45</v>
      </c>
      <c r="H7" s="123">
        <f t="shared" si="2"/>
        <v>1592935.6104000001</v>
      </c>
      <c r="I7" s="122">
        <f>+'%'!E7</f>
        <v>0.2</v>
      </c>
      <c r="J7" s="123">
        <f t="shared" si="3"/>
        <v>707971.3824</v>
      </c>
      <c r="K7" s="93">
        <f t="shared" si="4"/>
        <v>3185871.2208000002</v>
      </c>
      <c r="L7" s="86">
        <f>+'%'!F7</f>
        <v>0</v>
      </c>
      <c r="M7" s="87">
        <f t="shared" si="5"/>
        <v>0</v>
      </c>
      <c r="N7" s="93">
        <f t="shared" si="12"/>
        <v>0</v>
      </c>
      <c r="O7" s="86">
        <f>+'%'!G7</f>
        <v>0</v>
      </c>
      <c r="P7" s="87">
        <f t="shared" si="6"/>
        <v>0</v>
      </c>
      <c r="Q7" s="86">
        <f>+'%'!H7</f>
        <v>0.05</v>
      </c>
      <c r="R7" s="87">
        <f t="shared" si="7"/>
        <v>176992.8456</v>
      </c>
      <c r="S7" s="93">
        <f t="shared" si="13"/>
        <v>176992.8456</v>
      </c>
      <c r="T7" s="88">
        <f>+'%'!I7</f>
        <v>0</v>
      </c>
      <c r="U7" s="89">
        <v>0</v>
      </c>
      <c r="V7" s="88">
        <f>+'%'!J7</f>
        <v>0.05</v>
      </c>
      <c r="W7" s="89">
        <f t="shared" si="9"/>
        <v>176992.8456</v>
      </c>
      <c r="X7" s="93">
        <f t="shared" si="14"/>
        <v>176992.8456</v>
      </c>
      <c r="Y7" s="88">
        <f>+'%'!K7</f>
        <v>0</v>
      </c>
      <c r="Z7" s="89">
        <f t="shared" si="10"/>
        <v>0</v>
      </c>
      <c r="AA7" s="93">
        <f t="shared" si="15"/>
        <v>0</v>
      </c>
      <c r="AB7" s="81">
        <f t="shared" si="16"/>
        <v>0</v>
      </c>
      <c r="AC7" s="82">
        <f t="shared" si="11"/>
        <v>1</v>
      </c>
      <c r="AE7" s="162"/>
    </row>
    <row r="8" spans="1:31" x14ac:dyDescent="0.25">
      <c r="A8" s="46" t="s">
        <v>266</v>
      </c>
      <c r="B8" s="90">
        <f>+' NOMINAS ENE-DIC'!I210+' NOMINAS ENE-DIC'!I220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93">
        <f t="shared" si="4"/>
        <v>0</v>
      </c>
      <c r="L8" s="86">
        <v>0</v>
      </c>
      <c r="M8" s="87">
        <f t="shared" si="5"/>
        <v>0</v>
      </c>
      <c r="N8" s="93">
        <f t="shared" si="12"/>
        <v>0</v>
      </c>
      <c r="O8" s="86">
        <v>0</v>
      </c>
      <c r="P8" s="87">
        <f t="shared" si="6"/>
        <v>0</v>
      </c>
      <c r="Q8" s="86">
        <v>0</v>
      </c>
      <c r="R8" s="87">
        <f t="shared" si="7"/>
        <v>0</v>
      </c>
      <c r="S8" s="93">
        <f t="shared" si="13"/>
        <v>0</v>
      </c>
      <c r="T8" s="88">
        <v>0</v>
      </c>
      <c r="U8" s="89">
        <v>0</v>
      </c>
      <c r="V8" s="88">
        <v>0</v>
      </c>
      <c r="W8" s="89">
        <f t="shared" si="9"/>
        <v>0</v>
      </c>
      <c r="X8" s="93">
        <f t="shared" si="14"/>
        <v>0</v>
      </c>
      <c r="Y8" s="88">
        <v>0</v>
      </c>
      <c r="Z8" s="89">
        <f t="shared" si="10"/>
        <v>0</v>
      </c>
      <c r="AA8" s="93">
        <f t="shared" si="15"/>
        <v>0</v>
      </c>
      <c r="AB8" s="81">
        <f t="shared" si="16"/>
        <v>0</v>
      </c>
      <c r="AC8" s="82">
        <f t="shared" si="11"/>
        <v>1</v>
      </c>
    </row>
    <row r="9" spans="1:31" x14ac:dyDescent="0.25">
      <c r="A9" s="46" t="s">
        <v>184</v>
      </c>
      <c r="B9" s="90">
        <f>+' NOMINAS ENE-DIC'!B227</f>
        <v>2798400</v>
      </c>
      <c r="C9" s="91">
        <f>+'%'!B8</f>
        <v>0.2</v>
      </c>
      <c r="D9" s="93">
        <f t="shared" si="0"/>
        <v>559680</v>
      </c>
      <c r="E9" s="122">
        <f>+'%'!C8</f>
        <v>0.1</v>
      </c>
      <c r="F9" s="123">
        <f t="shared" si="1"/>
        <v>279840</v>
      </c>
      <c r="G9" s="122">
        <f>+'%'!D8</f>
        <v>0.3</v>
      </c>
      <c r="H9" s="123">
        <f t="shared" si="2"/>
        <v>839520</v>
      </c>
      <c r="I9" s="122">
        <f>+'%'!E8</f>
        <v>0.1</v>
      </c>
      <c r="J9" s="123">
        <f t="shared" si="3"/>
        <v>279840</v>
      </c>
      <c r="K9" s="93">
        <f t="shared" si="4"/>
        <v>1399200</v>
      </c>
      <c r="L9" s="86">
        <f>+'%'!F8</f>
        <v>0</v>
      </c>
      <c r="M9" s="87">
        <f t="shared" si="5"/>
        <v>0</v>
      </c>
      <c r="N9" s="93">
        <f t="shared" si="12"/>
        <v>0</v>
      </c>
      <c r="O9" s="86">
        <v>0.02</v>
      </c>
      <c r="P9" s="87">
        <f t="shared" si="6"/>
        <v>55968</v>
      </c>
      <c r="Q9" s="86">
        <f>+'%'!H8</f>
        <v>0.05</v>
      </c>
      <c r="R9" s="87">
        <f t="shared" si="7"/>
        <v>139920</v>
      </c>
      <c r="S9" s="93">
        <f t="shared" si="13"/>
        <v>195888</v>
      </c>
      <c r="T9" s="88">
        <f>+'%'!I8</f>
        <v>0</v>
      </c>
      <c r="U9" s="89">
        <v>0</v>
      </c>
      <c r="V9" s="88">
        <f>+'%'!J8</f>
        <v>0.1</v>
      </c>
      <c r="W9" s="89">
        <f t="shared" si="9"/>
        <v>279840</v>
      </c>
      <c r="X9" s="93">
        <f t="shared" si="14"/>
        <v>279840</v>
      </c>
      <c r="Y9" s="88">
        <v>0.13</v>
      </c>
      <c r="Z9" s="89">
        <f t="shared" si="10"/>
        <v>363792</v>
      </c>
      <c r="AA9" s="93">
        <f t="shared" si="15"/>
        <v>363792</v>
      </c>
      <c r="AB9" s="81">
        <f t="shared" si="16"/>
        <v>0</v>
      </c>
      <c r="AC9" s="82">
        <f t="shared" si="11"/>
        <v>1</v>
      </c>
      <c r="AE9" s="162"/>
    </row>
    <row r="10" spans="1:31" x14ac:dyDescent="0.25">
      <c r="A10" s="46" t="s">
        <v>51</v>
      </c>
      <c r="B10" s="90">
        <f>+' NOMINAS ENE-DIC'!B228</f>
        <v>2000000</v>
      </c>
      <c r="C10" s="91">
        <f>+'%'!B8</f>
        <v>0.2</v>
      </c>
      <c r="D10" s="93">
        <f t="shared" si="0"/>
        <v>400000</v>
      </c>
      <c r="E10" s="122">
        <f>+'%'!C8</f>
        <v>0.1</v>
      </c>
      <c r="F10" s="123">
        <f t="shared" si="1"/>
        <v>200000</v>
      </c>
      <c r="G10" s="122">
        <f>+'%'!D8</f>
        <v>0.3</v>
      </c>
      <c r="H10" s="123">
        <f t="shared" si="2"/>
        <v>600000</v>
      </c>
      <c r="I10" s="122">
        <f>+'%'!E8</f>
        <v>0.1</v>
      </c>
      <c r="J10" s="123">
        <f t="shared" si="3"/>
        <v>200000</v>
      </c>
      <c r="K10" s="93">
        <f t="shared" si="4"/>
        <v>1000000</v>
      </c>
      <c r="L10" s="86">
        <f>+'%'!F8</f>
        <v>0</v>
      </c>
      <c r="M10" s="87">
        <f t="shared" si="5"/>
        <v>0</v>
      </c>
      <c r="N10" s="93">
        <f t="shared" si="12"/>
        <v>0</v>
      </c>
      <c r="O10" s="86">
        <v>0.02</v>
      </c>
      <c r="P10" s="87">
        <f t="shared" si="6"/>
        <v>40000</v>
      </c>
      <c r="Q10" s="86">
        <f>+'%'!H8</f>
        <v>0.05</v>
      </c>
      <c r="R10" s="87">
        <f t="shared" si="7"/>
        <v>100000</v>
      </c>
      <c r="S10" s="93">
        <f t="shared" si="13"/>
        <v>140000</v>
      </c>
      <c r="T10" s="88">
        <f>+'%'!I8</f>
        <v>0</v>
      </c>
      <c r="U10" s="89">
        <f t="shared" si="8"/>
        <v>0</v>
      </c>
      <c r="V10" s="88">
        <f>+'%'!J8</f>
        <v>0.1</v>
      </c>
      <c r="W10" s="89">
        <f t="shared" si="9"/>
        <v>200000</v>
      </c>
      <c r="X10" s="93">
        <f t="shared" si="14"/>
        <v>200000</v>
      </c>
      <c r="Y10" s="88">
        <v>0.13</v>
      </c>
      <c r="Z10" s="89">
        <f t="shared" si="10"/>
        <v>260000</v>
      </c>
      <c r="AA10" s="93">
        <f t="shared" si="15"/>
        <v>260000</v>
      </c>
      <c r="AB10" s="81">
        <f t="shared" si="16"/>
        <v>0</v>
      </c>
      <c r="AC10" s="82">
        <f t="shared" si="11"/>
        <v>1</v>
      </c>
      <c r="AE10" s="162"/>
    </row>
    <row r="11" spans="1:31" x14ac:dyDescent="0.25">
      <c r="A11" s="46" t="s">
        <v>185</v>
      </c>
      <c r="B11" s="90">
        <f>+' NOMINAS ENE-DIC'!B226</f>
        <v>870000</v>
      </c>
      <c r="C11" s="91">
        <f>+'%'!B9</f>
        <v>0.2</v>
      </c>
      <c r="D11" s="93">
        <f t="shared" si="0"/>
        <v>174000</v>
      </c>
      <c r="E11" s="122">
        <f>+'%'!C9</f>
        <v>0.1</v>
      </c>
      <c r="F11" s="123">
        <f t="shared" si="1"/>
        <v>87000</v>
      </c>
      <c r="G11" s="122">
        <f>+'%'!D9</f>
        <v>0.2</v>
      </c>
      <c r="H11" s="123">
        <f t="shared" si="2"/>
        <v>174000</v>
      </c>
      <c r="I11" s="122">
        <f>+'%'!E9</f>
        <v>0.15</v>
      </c>
      <c r="J11" s="123">
        <f t="shared" si="3"/>
        <v>130500</v>
      </c>
      <c r="K11" s="93">
        <f t="shared" si="4"/>
        <v>391500</v>
      </c>
      <c r="L11" s="86">
        <f>+'%'!F9</f>
        <v>0</v>
      </c>
      <c r="M11" s="87">
        <f t="shared" si="5"/>
        <v>0</v>
      </c>
      <c r="N11" s="93">
        <f t="shared" si="12"/>
        <v>0</v>
      </c>
      <c r="O11" s="86">
        <v>0.02</v>
      </c>
      <c r="P11" s="87">
        <f t="shared" si="6"/>
        <v>17400</v>
      </c>
      <c r="Q11" s="86">
        <f>+'%'!H9</f>
        <v>0.1</v>
      </c>
      <c r="R11" s="87">
        <f t="shared" si="7"/>
        <v>87000</v>
      </c>
      <c r="S11" s="93">
        <f t="shared" si="13"/>
        <v>104400</v>
      </c>
      <c r="T11" s="88">
        <f>+'%'!I9</f>
        <v>0</v>
      </c>
      <c r="U11" s="89">
        <f t="shared" si="8"/>
        <v>0</v>
      </c>
      <c r="V11" s="88">
        <f>+'%'!J9</f>
        <v>0.2</v>
      </c>
      <c r="W11" s="89">
        <f t="shared" si="9"/>
        <v>174000</v>
      </c>
      <c r="X11" s="93">
        <f t="shared" si="14"/>
        <v>174000</v>
      </c>
      <c r="Y11" s="88">
        <v>0.03</v>
      </c>
      <c r="Z11" s="89">
        <f t="shared" si="10"/>
        <v>26100</v>
      </c>
      <c r="AA11" s="93">
        <f t="shared" si="15"/>
        <v>26100</v>
      </c>
      <c r="AB11" s="81">
        <f t="shared" si="16"/>
        <v>0</v>
      </c>
      <c r="AC11" s="82">
        <f t="shared" si="11"/>
        <v>1</v>
      </c>
      <c r="AE11" s="162"/>
    </row>
    <row r="12" spans="1:31" x14ac:dyDescent="0.25">
      <c r="A12" s="46" t="s">
        <v>181</v>
      </c>
      <c r="B12" s="92">
        <f>SUM(B5:B11)</f>
        <v>19936670.592</v>
      </c>
      <c r="C12" s="44"/>
      <c r="D12" s="93">
        <f>SUM(D5:D11)</f>
        <v>5056720.2488000002</v>
      </c>
      <c r="E12" s="124"/>
      <c r="F12" s="125">
        <f>SUM(F5:F11)</f>
        <v>2867746.9928000001</v>
      </c>
      <c r="G12" s="124"/>
      <c r="H12" s="125">
        <f>SUM(H5:H11)</f>
        <v>5330369.7576000001</v>
      </c>
      <c r="I12" s="124"/>
      <c r="J12" s="125">
        <f>SUM(J5:J11)</f>
        <v>1318311.3824</v>
      </c>
      <c r="K12" s="93">
        <f>SUM(K5:K11)</f>
        <v>9516428.1327999998</v>
      </c>
      <c r="L12" s="44"/>
      <c r="M12" s="95">
        <f>SUM(M5:M11)</f>
        <v>50238.715680000001</v>
      </c>
      <c r="N12" s="93">
        <f t="shared" si="12"/>
        <v>50238.715680000001</v>
      </c>
      <c r="O12" s="44"/>
      <c r="P12" s="95">
        <f>SUM(P5:P11)</f>
        <v>213845.43135999999</v>
      </c>
      <c r="Q12" s="44"/>
      <c r="R12" s="95">
        <f>SUM(R5:R11)</f>
        <v>755106.424</v>
      </c>
      <c r="S12" s="93">
        <f>SUM(S5:S11)</f>
        <v>968951.85535999993</v>
      </c>
      <c r="T12" s="44"/>
      <c r="U12" s="94">
        <f>SUM(U5:U11)</f>
        <v>1004774.3136</v>
      </c>
      <c r="V12" s="44"/>
      <c r="W12" s="94">
        <f>SUM(W5:W11)</f>
        <v>2187278.1689599999</v>
      </c>
      <c r="X12" s="93">
        <f>SUM(X5:X11)</f>
        <v>3192052.4825599999</v>
      </c>
      <c r="Y12" s="79"/>
      <c r="Z12" s="94">
        <f>SUM(Z5:Z11)</f>
        <v>1152279.1568</v>
      </c>
      <c r="AA12" s="93">
        <f>SUM(AA5:AA11)</f>
        <v>1152279.1568</v>
      </c>
      <c r="AB12" s="81">
        <f t="shared" si="16"/>
        <v>0</v>
      </c>
      <c r="AC12" s="82">
        <f t="shared" si="11"/>
        <v>0</v>
      </c>
    </row>
    <row r="15" spans="1:31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71" t="s">
        <v>222</v>
      </c>
      <c r="L15" s="75" t="s">
        <v>161</v>
      </c>
      <c r="M15" s="75" t="s">
        <v>176</v>
      </c>
      <c r="N15" s="71" t="s">
        <v>300</v>
      </c>
      <c r="O15" s="75" t="s">
        <v>162</v>
      </c>
      <c r="P15" s="75" t="s">
        <v>176</v>
      </c>
      <c r="Q15" s="76" t="s">
        <v>163</v>
      </c>
      <c r="R15" s="76" t="s">
        <v>176</v>
      </c>
      <c r="S15" s="71" t="s">
        <v>171</v>
      </c>
      <c r="T15" s="77" t="s">
        <v>164</v>
      </c>
      <c r="U15" s="77" t="s">
        <v>176</v>
      </c>
      <c r="V15" s="78" t="s">
        <v>165</v>
      </c>
      <c r="W15" s="78" t="s">
        <v>176</v>
      </c>
      <c r="X15" s="71" t="s">
        <v>301</v>
      </c>
      <c r="Y15" s="78" t="s">
        <v>194</v>
      </c>
      <c r="Z15" s="78" t="s">
        <v>176</v>
      </c>
      <c r="AA15" s="71" t="s">
        <v>172</v>
      </c>
      <c r="AB15" s="98" t="s">
        <v>178</v>
      </c>
      <c r="AC15" s="98" t="s">
        <v>179</v>
      </c>
      <c r="AD15" s="158" t="s">
        <v>244</v>
      </c>
    </row>
    <row r="16" spans="1:31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93">
        <f>+F16+H16+J16</f>
        <v>275385.59999999998</v>
      </c>
      <c r="L16" s="86">
        <v>0.01</v>
      </c>
      <c r="M16" s="87">
        <f>+L16*B16</f>
        <v>13113.6</v>
      </c>
      <c r="N16" s="93">
        <f>+M16</f>
        <v>13113.6</v>
      </c>
      <c r="O16" s="86">
        <v>0.03</v>
      </c>
      <c r="P16" s="87">
        <f>+O16*B16</f>
        <v>39340.799999999996</v>
      </c>
      <c r="Q16" s="86">
        <v>0.05</v>
      </c>
      <c r="R16" s="87">
        <f>+Q16*B16</f>
        <v>65568</v>
      </c>
      <c r="S16" s="93">
        <f>+P16+R16</f>
        <v>104908.79999999999</v>
      </c>
      <c r="T16" s="88">
        <v>0.15</v>
      </c>
      <c r="U16" s="89">
        <f>+T16*B16</f>
        <v>196704</v>
      </c>
      <c r="V16" s="88">
        <v>0.45</v>
      </c>
      <c r="W16" s="89">
        <f>+V16*B16</f>
        <v>590112</v>
      </c>
      <c r="X16" s="93">
        <f>+U16+W16</f>
        <v>786816</v>
      </c>
      <c r="Y16" s="88">
        <v>0</v>
      </c>
      <c r="Z16" s="89">
        <f t="shared" ref="Z16:Z50" si="17">+Y16*B16</f>
        <v>0</v>
      </c>
      <c r="AA16" s="93">
        <f>+Z16</f>
        <v>0</v>
      </c>
      <c r="AB16" s="81">
        <f>+(D16+K16+N16+S16+X16+AA16)-B16</f>
        <v>0</v>
      </c>
      <c r="AC16" s="82">
        <f>+C16+E16+G16+I16+L16+O16+Q16+T16+V16+Y16</f>
        <v>1</v>
      </c>
      <c r="AD16" s="159">
        <f t="shared" ref="AD16:AD50" si="18">+AA16+S16+K16</f>
        <v>380294.39999999997</v>
      </c>
    </row>
    <row r="17" spans="1:30" x14ac:dyDescent="0.25">
      <c r="A17" s="46" t="s">
        <v>81</v>
      </c>
      <c r="B17" s="90">
        <f>+' NOMINAS ENE-DIC'!G212</f>
        <v>6329</v>
      </c>
      <c r="C17" s="91">
        <v>0</v>
      </c>
      <c r="D17" s="85">
        <f t="shared" ref="D17:D50" si="19">+B17*C17</f>
        <v>0</v>
      </c>
      <c r="E17" s="122">
        <v>0.6</v>
      </c>
      <c r="F17" s="123">
        <f t="shared" ref="F17:F50" si="20">+B17*E17</f>
        <v>3797.3999999999996</v>
      </c>
      <c r="G17" s="122">
        <v>0.4</v>
      </c>
      <c r="H17" s="123">
        <f t="shared" ref="H17:H50" si="21">+B17*G17</f>
        <v>2531.6000000000004</v>
      </c>
      <c r="I17" s="122">
        <v>0</v>
      </c>
      <c r="J17" s="123">
        <f t="shared" ref="J17:J50" si="22">+B17*I17</f>
        <v>0</v>
      </c>
      <c r="K17" s="93">
        <f t="shared" ref="K17:K50" si="23">+F17+H17+J17</f>
        <v>6329</v>
      </c>
      <c r="L17" s="86">
        <v>0</v>
      </c>
      <c r="M17" s="87">
        <f t="shared" ref="M17:M50" si="24">+L17*B17</f>
        <v>0</v>
      </c>
      <c r="N17" s="93">
        <f t="shared" ref="N17:N50" si="25">+M17</f>
        <v>0</v>
      </c>
      <c r="O17" s="86">
        <v>0</v>
      </c>
      <c r="P17" s="87">
        <f t="shared" ref="P17:P50" si="26">+O17*B17</f>
        <v>0</v>
      </c>
      <c r="Q17" s="86">
        <v>0</v>
      </c>
      <c r="R17" s="87">
        <f t="shared" ref="R17:R50" si="27">+Q17*B17</f>
        <v>0</v>
      </c>
      <c r="S17" s="93">
        <f t="shared" ref="S17:S50" si="28">+P17+R17</f>
        <v>0</v>
      </c>
      <c r="T17" s="88">
        <v>0</v>
      </c>
      <c r="U17" s="89">
        <f t="shared" ref="U17:U50" si="29">+T17*B17</f>
        <v>0</v>
      </c>
      <c r="V17" s="88">
        <v>0</v>
      </c>
      <c r="W17" s="89">
        <f>+V17*B17</f>
        <v>0</v>
      </c>
      <c r="X17" s="93">
        <f t="shared" ref="X17:X50" si="30">+U17+W17</f>
        <v>0</v>
      </c>
      <c r="Y17" s="88">
        <v>0</v>
      </c>
      <c r="Z17" s="89">
        <f t="shared" si="17"/>
        <v>0</v>
      </c>
      <c r="AA17" s="93">
        <f t="shared" ref="AA17:AA50" si="31">+Z17</f>
        <v>0</v>
      </c>
      <c r="AB17" s="81">
        <f t="shared" ref="AB17:AB51" si="32">+(D17+K17+N17+S17+X17+AA17)-B17</f>
        <v>0</v>
      </c>
      <c r="AC17" s="82">
        <f t="shared" ref="AC17:AC51" si="33">+C17+E17+G17+I17+L17+O17+Q17+T17+V17+Y17</f>
        <v>1</v>
      </c>
      <c r="AD17" s="159">
        <f t="shared" si="18"/>
        <v>6329</v>
      </c>
    </row>
    <row r="18" spans="1:30" x14ac:dyDescent="0.25">
      <c r="A18" s="46" t="s">
        <v>268</v>
      </c>
      <c r="B18" s="90">
        <v>1000000</v>
      </c>
      <c r="C18" s="91">
        <v>0</v>
      </c>
      <c r="D18" s="85">
        <f t="shared" si="19"/>
        <v>0</v>
      </c>
      <c r="E18" s="122">
        <v>0.6</v>
      </c>
      <c r="F18" s="123">
        <f t="shared" si="20"/>
        <v>600000</v>
      </c>
      <c r="G18" s="122">
        <v>0.4</v>
      </c>
      <c r="H18" s="123">
        <f t="shared" si="21"/>
        <v>400000</v>
      </c>
      <c r="I18" s="122">
        <v>0</v>
      </c>
      <c r="J18" s="123">
        <f t="shared" si="22"/>
        <v>0</v>
      </c>
      <c r="K18" s="93">
        <f t="shared" si="23"/>
        <v>1000000</v>
      </c>
      <c r="L18" s="86">
        <v>0</v>
      </c>
      <c r="M18" s="87">
        <f t="shared" si="24"/>
        <v>0</v>
      </c>
      <c r="N18" s="93">
        <f t="shared" si="25"/>
        <v>0</v>
      </c>
      <c r="O18" s="86">
        <v>0</v>
      </c>
      <c r="P18" s="87">
        <f t="shared" si="26"/>
        <v>0</v>
      </c>
      <c r="Q18" s="86">
        <v>0</v>
      </c>
      <c r="R18" s="87">
        <f t="shared" si="27"/>
        <v>0</v>
      </c>
      <c r="S18" s="93">
        <f t="shared" si="28"/>
        <v>0</v>
      </c>
      <c r="T18" s="88">
        <v>0</v>
      </c>
      <c r="U18" s="89">
        <f t="shared" si="29"/>
        <v>0</v>
      </c>
      <c r="V18" s="88">
        <v>0</v>
      </c>
      <c r="W18" s="89">
        <f>+V18*B18</f>
        <v>0</v>
      </c>
      <c r="X18" s="93">
        <f t="shared" si="30"/>
        <v>0</v>
      </c>
      <c r="Y18" s="88">
        <v>0</v>
      </c>
      <c r="Z18" s="89">
        <f t="shared" si="17"/>
        <v>0</v>
      </c>
      <c r="AA18" s="93">
        <f t="shared" si="31"/>
        <v>0</v>
      </c>
      <c r="AB18" s="81">
        <f t="shared" si="32"/>
        <v>0</v>
      </c>
      <c r="AC18" s="82">
        <f t="shared" si="33"/>
        <v>1</v>
      </c>
      <c r="AD18" s="159">
        <f t="shared" si="18"/>
        <v>1000000</v>
      </c>
    </row>
    <row r="19" spans="1:30" x14ac:dyDescent="0.25">
      <c r="A19" s="46" t="s">
        <v>186</v>
      </c>
      <c r="B19" s="90">
        <f>200000+950000</f>
        <v>1150000</v>
      </c>
      <c r="C19" s="91">
        <v>0.1</v>
      </c>
      <c r="D19" s="85">
        <f t="shared" si="19"/>
        <v>115000</v>
      </c>
      <c r="E19" s="122">
        <v>0</v>
      </c>
      <c r="F19" s="123">
        <f t="shared" si="20"/>
        <v>0</v>
      </c>
      <c r="G19" s="122">
        <v>0</v>
      </c>
      <c r="H19" s="123">
        <f t="shared" si="21"/>
        <v>0</v>
      </c>
      <c r="I19" s="122">
        <v>0</v>
      </c>
      <c r="J19" s="123">
        <f t="shared" si="22"/>
        <v>0</v>
      </c>
      <c r="K19" s="93">
        <f t="shared" si="23"/>
        <v>0</v>
      </c>
      <c r="L19" s="86">
        <v>0.01</v>
      </c>
      <c r="M19" s="87">
        <f t="shared" si="24"/>
        <v>11500</v>
      </c>
      <c r="N19" s="93">
        <f t="shared" si="25"/>
        <v>11500</v>
      </c>
      <c r="O19" s="86">
        <v>0.2</v>
      </c>
      <c r="P19" s="87">
        <f t="shared" si="26"/>
        <v>230000</v>
      </c>
      <c r="Q19" s="86">
        <v>0.15</v>
      </c>
      <c r="R19" s="87">
        <f t="shared" si="27"/>
        <v>172500</v>
      </c>
      <c r="S19" s="93">
        <f t="shared" si="28"/>
        <v>402500</v>
      </c>
      <c r="T19" s="88">
        <v>0.2</v>
      </c>
      <c r="U19" s="89">
        <f t="shared" si="29"/>
        <v>230000</v>
      </c>
      <c r="V19" s="88">
        <v>0.24</v>
      </c>
      <c r="W19" s="89">
        <f t="shared" ref="W19:W50" si="34">+V19*B19</f>
        <v>276000</v>
      </c>
      <c r="X19" s="93">
        <f t="shared" si="30"/>
        <v>506000</v>
      </c>
      <c r="Y19" s="88">
        <v>0.1</v>
      </c>
      <c r="Z19" s="89">
        <f t="shared" si="17"/>
        <v>115000</v>
      </c>
      <c r="AA19" s="93">
        <f t="shared" si="31"/>
        <v>115000</v>
      </c>
      <c r="AB19" s="81">
        <f t="shared" si="32"/>
        <v>0</v>
      </c>
      <c r="AC19" s="82">
        <f t="shared" si="33"/>
        <v>0.99999999999999989</v>
      </c>
      <c r="AD19" s="159">
        <f t="shared" si="18"/>
        <v>517500</v>
      </c>
    </row>
    <row r="20" spans="1:30" x14ac:dyDescent="0.25">
      <c r="A20" s="46" t="s">
        <v>276</v>
      </c>
      <c r="B20" s="90"/>
      <c r="C20" s="91">
        <v>0</v>
      </c>
      <c r="D20" s="85">
        <f t="shared" si="19"/>
        <v>0</v>
      </c>
      <c r="E20" s="122">
        <v>0</v>
      </c>
      <c r="F20" s="123">
        <f t="shared" si="20"/>
        <v>0</v>
      </c>
      <c r="G20" s="122">
        <v>0</v>
      </c>
      <c r="H20" s="123">
        <f t="shared" si="21"/>
        <v>0</v>
      </c>
      <c r="I20" s="122">
        <v>0</v>
      </c>
      <c r="J20" s="123">
        <f t="shared" si="22"/>
        <v>0</v>
      </c>
      <c r="K20" s="93">
        <f t="shared" si="23"/>
        <v>0</v>
      </c>
      <c r="L20" s="86">
        <v>0</v>
      </c>
      <c r="M20" s="87">
        <f t="shared" si="24"/>
        <v>0</v>
      </c>
      <c r="N20" s="93">
        <f t="shared" si="25"/>
        <v>0</v>
      </c>
      <c r="O20" s="86">
        <v>0</v>
      </c>
      <c r="P20" s="87">
        <f t="shared" si="26"/>
        <v>0</v>
      </c>
      <c r="Q20" s="86">
        <v>0</v>
      </c>
      <c r="R20" s="87">
        <f t="shared" si="27"/>
        <v>0</v>
      </c>
      <c r="S20" s="93">
        <f t="shared" si="28"/>
        <v>0</v>
      </c>
      <c r="T20" s="88">
        <v>0</v>
      </c>
      <c r="U20" s="89">
        <f t="shared" si="29"/>
        <v>0</v>
      </c>
      <c r="V20" s="88">
        <v>0</v>
      </c>
      <c r="W20" s="89">
        <f t="shared" si="34"/>
        <v>0</v>
      </c>
      <c r="X20" s="93">
        <f t="shared" si="30"/>
        <v>0</v>
      </c>
      <c r="Y20" s="88">
        <v>1</v>
      </c>
      <c r="Z20" s="89">
        <f t="shared" si="17"/>
        <v>0</v>
      </c>
      <c r="AA20" s="93">
        <f t="shared" si="31"/>
        <v>0</v>
      </c>
      <c r="AB20" s="81">
        <f t="shared" si="32"/>
        <v>0</v>
      </c>
      <c r="AC20" s="82">
        <f t="shared" si="33"/>
        <v>1</v>
      </c>
      <c r="AD20" s="159">
        <f t="shared" si="18"/>
        <v>0</v>
      </c>
    </row>
    <row r="21" spans="1:30" x14ac:dyDescent="0.25">
      <c r="A21" s="46" t="s">
        <v>277</v>
      </c>
      <c r="B21" s="90">
        <v>7607</v>
      </c>
      <c r="C21" s="91">
        <v>0.1</v>
      </c>
      <c r="D21" s="85">
        <f t="shared" si="19"/>
        <v>760.7</v>
      </c>
      <c r="E21" s="122">
        <v>0</v>
      </c>
      <c r="F21" s="123">
        <f t="shared" si="20"/>
        <v>0</v>
      </c>
      <c r="G21" s="122">
        <v>0</v>
      </c>
      <c r="H21" s="123">
        <f t="shared" si="21"/>
        <v>0</v>
      </c>
      <c r="I21" s="122">
        <v>0</v>
      </c>
      <c r="J21" s="123">
        <f t="shared" si="22"/>
        <v>0</v>
      </c>
      <c r="K21" s="93">
        <f t="shared" si="23"/>
        <v>0</v>
      </c>
      <c r="L21" s="86">
        <v>0</v>
      </c>
      <c r="M21" s="87">
        <f t="shared" si="24"/>
        <v>0</v>
      </c>
      <c r="N21" s="93">
        <f t="shared" si="25"/>
        <v>0</v>
      </c>
      <c r="O21" s="86">
        <v>0</v>
      </c>
      <c r="P21" s="87">
        <f t="shared" si="26"/>
        <v>0</v>
      </c>
      <c r="Q21" s="86">
        <v>0</v>
      </c>
      <c r="R21" s="87">
        <f t="shared" si="27"/>
        <v>0</v>
      </c>
      <c r="S21" s="93">
        <f t="shared" si="28"/>
        <v>0</v>
      </c>
      <c r="T21" s="88">
        <v>0.1</v>
      </c>
      <c r="U21" s="89">
        <f t="shared" si="29"/>
        <v>760.7</v>
      </c>
      <c r="V21" s="88">
        <v>0.7</v>
      </c>
      <c r="W21" s="89">
        <f t="shared" si="34"/>
        <v>5324.9</v>
      </c>
      <c r="X21" s="93">
        <f t="shared" si="30"/>
        <v>6085.5999999999995</v>
      </c>
      <c r="Y21" s="88">
        <v>0.1</v>
      </c>
      <c r="Z21" s="89">
        <f t="shared" si="17"/>
        <v>760.7</v>
      </c>
      <c r="AA21" s="93">
        <f t="shared" si="31"/>
        <v>760.7</v>
      </c>
      <c r="AB21" s="81">
        <f t="shared" si="32"/>
        <v>0</v>
      </c>
      <c r="AC21" s="82">
        <f t="shared" si="33"/>
        <v>0.99999999999999989</v>
      </c>
      <c r="AD21" s="159">
        <f t="shared" si="18"/>
        <v>760.7</v>
      </c>
    </row>
    <row r="22" spans="1:30" x14ac:dyDescent="0.25">
      <c r="A22" s="46" t="s">
        <v>121</v>
      </c>
      <c r="B22" s="90"/>
      <c r="C22" s="91">
        <v>0.1</v>
      </c>
      <c r="D22" s="85">
        <f t="shared" si="19"/>
        <v>0</v>
      </c>
      <c r="E22" s="122">
        <v>0.05</v>
      </c>
      <c r="F22" s="123">
        <f t="shared" si="20"/>
        <v>0</v>
      </c>
      <c r="G22" s="122">
        <v>0.05</v>
      </c>
      <c r="H22" s="123">
        <f t="shared" si="21"/>
        <v>0</v>
      </c>
      <c r="I22" s="122">
        <v>0.01</v>
      </c>
      <c r="J22" s="123">
        <f t="shared" si="22"/>
        <v>0</v>
      </c>
      <c r="K22" s="93">
        <f t="shared" si="23"/>
        <v>0</v>
      </c>
      <c r="L22" s="86">
        <v>0</v>
      </c>
      <c r="M22" s="87">
        <f t="shared" si="24"/>
        <v>0</v>
      </c>
      <c r="N22" s="93">
        <f t="shared" si="25"/>
        <v>0</v>
      </c>
      <c r="O22" s="86">
        <v>0.05</v>
      </c>
      <c r="P22" s="87">
        <f t="shared" si="26"/>
        <v>0</v>
      </c>
      <c r="Q22" s="86">
        <v>0.05</v>
      </c>
      <c r="R22" s="87">
        <f t="shared" si="27"/>
        <v>0</v>
      </c>
      <c r="S22" s="93">
        <f t="shared" si="28"/>
        <v>0</v>
      </c>
      <c r="T22" s="88">
        <v>0</v>
      </c>
      <c r="U22" s="89">
        <f t="shared" si="29"/>
        <v>0</v>
      </c>
      <c r="V22" s="88">
        <v>0.45</v>
      </c>
      <c r="W22" s="89">
        <f t="shared" si="34"/>
        <v>0</v>
      </c>
      <c r="X22" s="93">
        <f t="shared" si="30"/>
        <v>0</v>
      </c>
      <c r="Y22" s="88">
        <v>0.24</v>
      </c>
      <c r="Z22" s="89">
        <f t="shared" si="17"/>
        <v>0</v>
      </c>
      <c r="AA22" s="93">
        <f t="shared" si="31"/>
        <v>0</v>
      </c>
      <c r="AB22" s="81">
        <f t="shared" si="32"/>
        <v>0</v>
      </c>
      <c r="AC22" s="82">
        <f t="shared" si="33"/>
        <v>1</v>
      </c>
      <c r="AD22" s="159">
        <f t="shared" si="18"/>
        <v>0</v>
      </c>
    </row>
    <row r="23" spans="1:30" x14ac:dyDescent="0.25">
      <c r="A23" s="46" t="s">
        <v>111</v>
      </c>
      <c r="B23" s="90">
        <f>106680+435794</f>
        <v>542474</v>
      </c>
      <c r="C23" s="91">
        <v>0</v>
      </c>
      <c r="D23" s="85">
        <f t="shared" si="19"/>
        <v>0</v>
      </c>
      <c r="E23" s="122">
        <v>0</v>
      </c>
      <c r="F23" s="123">
        <f t="shared" si="20"/>
        <v>0</v>
      </c>
      <c r="G23" s="122">
        <v>0</v>
      </c>
      <c r="H23" s="123">
        <f t="shared" si="21"/>
        <v>0</v>
      </c>
      <c r="I23" s="122">
        <v>0</v>
      </c>
      <c r="J23" s="123">
        <f t="shared" si="22"/>
        <v>0</v>
      </c>
      <c r="K23" s="93">
        <f t="shared" si="23"/>
        <v>0</v>
      </c>
      <c r="L23" s="86">
        <v>0</v>
      </c>
      <c r="M23" s="87">
        <f t="shared" si="24"/>
        <v>0</v>
      </c>
      <c r="N23" s="93">
        <f t="shared" si="25"/>
        <v>0</v>
      </c>
      <c r="O23" s="86">
        <v>0</v>
      </c>
      <c r="P23" s="87">
        <f t="shared" si="26"/>
        <v>0</v>
      </c>
      <c r="Q23" s="86">
        <v>0</v>
      </c>
      <c r="R23" s="87">
        <f t="shared" si="27"/>
        <v>0</v>
      </c>
      <c r="S23" s="93">
        <f t="shared" si="28"/>
        <v>0</v>
      </c>
      <c r="T23" s="88">
        <v>0</v>
      </c>
      <c r="U23" s="89">
        <f t="shared" si="29"/>
        <v>0</v>
      </c>
      <c r="V23" s="88">
        <v>0</v>
      </c>
      <c r="W23" s="89">
        <f t="shared" si="34"/>
        <v>0</v>
      </c>
      <c r="X23" s="93">
        <f t="shared" si="30"/>
        <v>0</v>
      </c>
      <c r="Y23" s="88">
        <v>1</v>
      </c>
      <c r="Z23" s="89">
        <f t="shared" si="17"/>
        <v>542474</v>
      </c>
      <c r="AA23" s="93">
        <f t="shared" si="31"/>
        <v>542474</v>
      </c>
      <c r="AB23" s="81">
        <f t="shared" si="32"/>
        <v>0</v>
      </c>
      <c r="AC23" s="82">
        <f t="shared" si="33"/>
        <v>1</v>
      </c>
      <c r="AD23" s="159">
        <f t="shared" si="18"/>
        <v>542474</v>
      </c>
    </row>
    <row r="24" spans="1:30" x14ac:dyDescent="0.25">
      <c r="A24" s="46" t="s">
        <v>220</v>
      </c>
      <c r="B24" s="90">
        <v>191217</v>
      </c>
      <c r="C24" s="91">
        <v>0.1</v>
      </c>
      <c r="D24" s="85">
        <f t="shared" si="19"/>
        <v>19121.7</v>
      </c>
      <c r="E24" s="122">
        <v>0.05</v>
      </c>
      <c r="F24" s="123">
        <f t="shared" si="20"/>
        <v>9560.85</v>
      </c>
      <c r="G24" s="122">
        <v>0.15</v>
      </c>
      <c r="H24" s="123">
        <f t="shared" si="21"/>
        <v>28682.55</v>
      </c>
      <c r="I24" s="122">
        <v>0</v>
      </c>
      <c r="J24" s="123">
        <f t="shared" si="22"/>
        <v>0</v>
      </c>
      <c r="K24" s="93">
        <f t="shared" si="23"/>
        <v>38243.4</v>
      </c>
      <c r="L24" s="86">
        <v>0</v>
      </c>
      <c r="M24" s="87">
        <f t="shared" si="24"/>
        <v>0</v>
      </c>
      <c r="N24" s="93">
        <f t="shared" si="25"/>
        <v>0</v>
      </c>
      <c r="O24" s="86">
        <v>0</v>
      </c>
      <c r="P24" s="87">
        <f t="shared" si="26"/>
        <v>0</v>
      </c>
      <c r="Q24" s="86">
        <v>0.05</v>
      </c>
      <c r="R24" s="87">
        <f t="shared" si="27"/>
        <v>9560.85</v>
      </c>
      <c r="S24" s="93">
        <f t="shared" si="28"/>
        <v>9560.85</v>
      </c>
      <c r="T24" s="88">
        <v>0.15</v>
      </c>
      <c r="U24" s="89">
        <f t="shared" si="29"/>
        <v>28682.55</v>
      </c>
      <c r="V24" s="88">
        <v>0.45</v>
      </c>
      <c r="W24" s="89">
        <f t="shared" si="34"/>
        <v>86047.650000000009</v>
      </c>
      <c r="X24" s="93">
        <f t="shared" si="30"/>
        <v>114730.20000000001</v>
      </c>
      <c r="Y24" s="88">
        <v>0.05</v>
      </c>
      <c r="Z24" s="89">
        <f t="shared" si="17"/>
        <v>9560.85</v>
      </c>
      <c r="AA24" s="93">
        <f t="shared" si="31"/>
        <v>9560.85</v>
      </c>
      <c r="AB24" s="81">
        <f t="shared" si="32"/>
        <v>0</v>
      </c>
      <c r="AC24" s="82">
        <f t="shared" si="33"/>
        <v>1</v>
      </c>
      <c r="AD24" s="159">
        <f t="shared" si="18"/>
        <v>57365.100000000006</v>
      </c>
    </row>
    <row r="25" spans="1:30" x14ac:dyDescent="0.25">
      <c r="A25" s="46" t="s">
        <v>68</v>
      </c>
      <c r="B25" s="90">
        <v>241808</v>
      </c>
      <c r="C25" s="91">
        <v>0.1</v>
      </c>
      <c r="D25" s="85">
        <f t="shared" si="19"/>
        <v>24180.800000000003</v>
      </c>
      <c r="E25" s="122">
        <v>0.05</v>
      </c>
      <c r="F25" s="123">
        <f t="shared" si="20"/>
        <v>12090.400000000001</v>
      </c>
      <c r="G25" s="122">
        <v>0.15</v>
      </c>
      <c r="H25" s="123">
        <f t="shared" si="21"/>
        <v>36271.199999999997</v>
      </c>
      <c r="I25" s="122">
        <v>0</v>
      </c>
      <c r="J25" s="123">
        <f t="shared" si="22"/>
        <v>0</v>
      </c>
      <c r="K25" s="93">
        <f t="shared" si="23"/>
        <v>48361.599999999999</v>
      </c>
      <c r="L25" s="86">
        <v>0</v>
      </c>
      <c r="M25" s="87">
        <f t="shared" si="24"/>
        <v>0</v>
      </c>
      <c r="N25" s="93">
        <f t="shared" si="25"/>
        <v>0</v>
      </c>
      <c r="O25" s="86">
        <v>0</v>
      </c>
      <c r="P25" s="87">
        <f t="shared" si="26"/>
        <v>0</v>
      </c>
      <c r="Q25" s="86">
        <v>0.05</v>
      </c>
      <c r="R25" s="87">
        <f t="shared" si="27"/>
        <v>12090.400000000001</v>
      </c>
      <c r="S25" s="93">
        <f t="shared" si="28"/>
        <v>12090.400000000001</v>
      </c>
      <c r="T25" s="88">
        <v>0.15</v>
      </c>
      <c r="U25" s="89">
        <f t="shared" si="29"/>
        <v>36271.199999999997</v>
      </c>
      <c r="V25" s="88">
        <v>0.45</v>
      </c>
      <c r="W25" s="89">
        <f t="shared" si="34"/>
        <v>108813.6</v>
      </c>
      <c r="X25" s="93">
        <f t="shared" si="30"/>
        <v>145084.79999999999</v>
      </c>
      <c r="Y25" s="88">
        <v>0.05</v>
      </c>
      <c r="Z25" s="89">
        <f t="shared" si="17"/>
        <v>12090.400000000001</v>
      </c>
      <c r="AA25" s="93">
        <f t="shared" si="31"/>
        <v>12090.400000000001</v>
      </c>
      <c r="AB25" s="81">
        <f t="shared" si="32"/>
        <v>0</v>
      </c>
      <c r="AC25" s="82">
        <f t="shared" si="33"/>
        <v>1</v>
      </c>
      <c r="AD25" s="159">
        <f t="shared" si="18"/>
        <v>72542.399999999994</v>
      </c>
    </row>
    <row r="26" spans="1:30" x14ac:dyDescent="0.25">
      <c r="A26" s="46" t="s">
        <v>187</v>
      </c>
      <c r="B26" s="90"/>
      <c r="C26" s="91">
        <v>0.1</v>
      </c>
      <c r="D26" s="85">
        <f t="shared" si="19"/>
        <v>0</v>
      </c>
      <c r="E26" s="122">
        <v>0</v>
      </c>
      <c r="F26" s="123">
        <f t="shared" si="20"/>
        <v>0</v>
      </c>
      <c r="G26" s="122">
        <v>0</v>
      </c>
      <c r="H26" s="123">
        <f t="shared" si="21"/>
        <v>0</v>
      </c>
      <c r="I26" s="122">
        <v>0.1</v>
      </c>
      <c r="J26" s="123">
        <f t="shared" si="22"/>
        <v>0</v>
      </c>
      <c r="K26" s="93">
        <f t="shared" si="23"/>
        <v>0</v>
      </c>
      <c r="L26" s="86">
        <v>0</v>
      </c>
      <c r="M26" s="87">
        <f t="shared" si="24"/>
        <v>0</v>
      </c>
      <c r="N26" s="93">
        <f t="shared" si="25"/>
        <v>0</v>
      </c>
      <c r="O26" s="86">
        <v>0.05</v>
      </c>
      <c r="P26" s="87">
        <f t="shared" si="26"/>
        <v>0</v>
      </c>
      <c r="Q26" s="86">
        <v>0.1</v>
      </c>
      <c r="R26" s="87">
        <f t="shared" si="27"/>
        <v>0</v>
      </c>
      <c r="S26" s="93">
        <f t="shared" si="28"/>
        <v>0</v>
      </c>
      <c r="T26" s="88">
        <v>0.05</v>
      </c>
      <c r="U26" s="89">
        <f t="shared" si="29"/>
        <v>0</v>
      </c>
      <c r="V26" s="88">
        <v>0.6</v>
      </c>
      <c r="W26" s="89">
        <f t="shared" si="34"/>
        <v>0</v>
      </c>
      <c r="X26" s="93">
        <f t="shared" si="30"/>
        <v>0</v>
      </c>
      <c r="Y26" s="88">
        <v>0</v>
      </c>
      <c r="Z26" s="89">
        <f t="shared" si="17"/>
        <v>0</v>
      </c>
      <c r="AA26" s="93">
        <f t="shared" si="31"/>
        <v>0</v>
      </c>
      <c r="AB26" s="81">
        <f t="shared" si="32"/>
        <v>0</v>
      </c>
      <c r="AC26" s="82">
        <f t="shared" si="33"/>
        <v>1</v>
      </c>
      <c r="AD26" s="159">
        <f t="shared" si="18"/>
        <v>0</v>
      </c>
    </row>
    <row r="27" spans="1:30" x14ac:dyDescent="0.25">
      <c r="A27" s="46" t="s">
        <v>188</v>
      </c>
      <c r="B27" s="90">
        <f>187100+209208</f>
        <v>396308</v>
      </c>
      <c r="C27" s="91">
        <v>0.1</v>
      </c>
      <c r="D27" s="85">
        <f t="shared" si="19"/>
        <v>39630.800000000003</v>
      </c>
      <c r="E27" s="122">
        <v>0</v>
      </c>
      <c r="F27" s="123">
        <f t="shared" si="20"/>
        <v>0</v>
      </c>
      <c r="G27" s="122">
        <v>0.1</v>
      </c>
      <c r="H27" s="123">
        <f t="shared" si="21"/>
        <v>39630.800000000003</v>
      </c>
      <c r="I27" s="122">
        <v>0.02</v>
      </c>
      <c r="J27" s="123">
        <f t="shared" si="22"/>
        <v>7926.16</v>
      </c>
      <c r="K27" s="93">
        <f t="shared" si="23"/>
        <v>47556.960000000006</v>
      </c>
      <c r="L27" s="86">
        <v>0</v>
      </c>
      <c r="M27" s="87">
        <f t="shared" si="24"/>
        <v>0</v>
      </c>
      <c r="N27" s="93">
        <f t="shared" si="25"/>
        <v>0</v>
      </c>
      <c r="O27" s="86">
        <v>0.1</v>
      </c>
      <c r="P27" s="87">
        <f t="shared" si="26"/>
        <v>39630.800000000003</v>
      </c>
      <c r="Q27" s="86">
        <v>0.05</v>
      </c>
      <c r="R27" s="87">
        <f t="shared" si="27"/>
        <v>19815.400000000001</v>
      </c>
      <c r="S27" s="93">
        <f t="shared" si="28"/>
        <v>59446.200000000004</v>
      </c>
      <c r="T27" s="88">
        <v>0.02</v>
      </c>
      <c r="U27" s="89">
        <f t="shared" si="29"/>
        <v>7926.16</v>
      </c>
      <c r="V27" s="88">
        <v>0.61</v>
      </c>
      <c r="W27" s="89">
        <f t="shared" si="34"/>
        <v>241747.88</v>
      </c>
      <c r="X27" s="93">
        <f t="shared" si="30"/>
        <v>249674.04</v>
      </c>
      <c r="Y27" s="88">
        <v>0</v>
      </c>
      <c r="Z27" s="89">
        <f t="shared" si="17"/>
        <v>0</v>
      </c>
      <c r="AA27" s="93">
        <f t="shared" si="31"/>
        <v>0</v>
      </c>
      <c r="AB27" s="81">
        <f t="shared" si="32"/>
        <v>0</v>
      </c>
      <c r="AC27" s="82">
        <f t="shared" si="33"/>
        <v>1</v>
      </c>
      <c r="AD27" s="159">
        <f t="shared" si="18"/>
        <v>107003.16</v>
      </c>
    </row>
    <row r="28" spans="1:30" x14ac:dyDescent="0.25">
      <c r="A28" s="46" t="s">
        <v>263</v>
      </c>
      <c r="B28" s="90"/>
      <c r="C28" s="91">
        <v>0.1</v>
      </c>
      <c r="D28" s="85">
        <f t="shared" si="19"/>
        <v>0</v>
      </c>
      <c r="E28" s="122">
        <v>0</v>
      </c>
      <c r="F28" s="123">
        <f t="shared" si="20"/>
        <v>0</v>
      </c>
      <c r="G28" s="122">
        <v>0.1</v>
      </c>
      <c r="H28" s="123">
        <f t="shared" si="21"/>
        <v>0</v>
      </c>
      <c r="I28" s="122">
        <v>0.02</v>
      </c>
      <c r="J28" s="123">
        <f t="shared" si="22"/>
        <v>0</v>
      </c>
      <c r="K28" s="93">
        <f t="shared" si="23"/>
        <v>0</v>
      </c>
      <c r="L28" s="86">
        <v>0</v>
      </c>
      <c r="M28" s="87">
        <f t="shared" si="24"/>
        <v>0</v>
      </c>
      <c r="N28" s="93">
        <f t="shared" si="25"/>
        <v>0</v>
      </c>
      <c r="O28" s="86">
        <v>0.1</v>
      </c>
      <c r="P28" s="87">
        <f t="shared" si="26"/>
        <v>0</v>
      </c>
      <c r="Q28" s="86">
        <v>0.05</v>
      </c>
      <c r="R28" s="87">
        <f t="shared" si="27"/>
        <v>0</v>
      </c>
      <c r="S28" s="93">
        <f t="shared" si="28"/>
        <v>0</v>
      </c>
      <c r="T28" s="88">
        <v>0.02</v>
      </c>
      <c r="U28" s="89">
        <f t="shared" si="29"/>
        <v>0</v>
      </c>
      <c r="V28" s="88">
        <v>0.61</v>
      </c>
      <c r="W28" s="89">
        <f t="shared" si="34"/>
        <v>0</v>
      </c>
      <c r="X28" s="93">
        <f t="shared" si="30"/>
        <v>0</v>
      </c>
      <c r="Y28" s="88">
        <v>0</v>
      </c>
      <c r="Z28" s="89">
        <f t="shared" si="17"/>
        <v>0</v>
      </c>
      <c r="AA28" s="93">
        <f t="shared" si="31"/>
        <v>0</v>
      </c>
      <c r="AB28" s="81">
        <f t="shared" si="32"/>
        <v>0</v>
      </c>
      <c r="AC28" s="82">
        <f t="shared" si="33"/>
        <v>1</v>
      </c>
      <c r="AD28" s="159">
        <f t="shared" si="18"/>
        <v>0</v>
      </c>
    </row>
    <row r="29" spans="1:30" x14ac:dyDescent="0.25">
      <c r="A29" s="46" t="s">
        <v>108</v>
      </c>
      <c r="B29" s="90"/>
      <c r="C29" s="91">
        <v>0.1</v>
      </c>
      <c r="D29" s="85">
        <f t="shared" si="19"/>
        <v>0</v>
      </c>
      <c r="E29" s="122">
        <v>0.05</v>
      </c>
      <c r="F29" s="123">
        <f t="shared" si="20"/>
        <v>0</v>
      </c>
      <c r="G29" s="122">
        <v>0.05</v>
      </c>
      <c r="H29" s="123">
        <f t="shared" si="21"/>
        <v>0</v>
      </c>
      <c r="I29" s="122">
        <v>0.01</v>
      </c>
      <c r="J29" s="123">
        <f t="shared" si="22"/>
        <v>0</v>
      </c>
      <c r="K29" s="93">
        <f t="shared" si="23"/>
        <v>0</v>
      </c>
      <c r="L29" s="86">
        <v>0</v>
      </c>
      <c r="M29" s="87">
        <f t="shared" si="24"/>
        <v>0</v>
      </c>
      <c r="N29" s="93">
        <f t="shared" si="25"/>
        <v>0</v>
      </c>
      <c r="O29" s="86">
        <v>0.02</v>
      </c>
      <c r="P29" s="87">
        <f t="shared" si="26"/>
        <v>0</v>
      </c>
      <c r="Q29" s="86">
        <v>0.25</v>
      </c>
      <c r="R29" s="87">
        <f t="shared" si="27"/>
        <v>0</v>
      </c>
      <c r="S29" s="93">
        <f t="shared" si="28"/>
        <v>0</v>
      </c>
      <c r="T29" s="88">
        <v>0.02</v>
      </c>
      <c r="U29" s="89">
        <f t="shared" si="29"/>
        <v>0</v>
      </c>
      <c r="V29" s="88">
        <v>0.5</v>
      </c>
      <c r="W29" s="89">
        <f t="shared" si="34"/>
        <v>0</v>
      </c>
      <c r="X29" s="93">
        <f t="shared" si="30"/>
        <v>0</v>
      </c>
      <c r="Y29" s="88">
        <v>0</v>
      </c>
      <c r="Z29" s="89">
        <f t="shared" si="17"/>
        <v>0</v>
      </c>
      <c r="AA29" s="93">
        <f t="shared" si="31"/>
        <v>0</v>
      </c>
      <c r="AB29" s="81">
        <f t="shared" si="32"/>
        <v>0</v>
      </c>
      <c r="AC29" s="82">
        <f t="shared" si="33"/>
        <v>1</v>
      </c>
      <c r="AD29" s="159">
        <f t="shared" si="18"/>
        <v>0</v>
      </c>
    </row>
    <row r="30" spans="1:30" x14ac:dyDescent="0.25">
      <c r="A30" s="46" t="s">
        <v>155</v>
      </c>
      <c r="B30" s="90">
        <v>77000</v>
      </c>
      <c r="C30" s="91">
        <v>0.1</v>
      </c>
      <c r="D30" s="85">
        <f t="shared" si="19"/>
        <v>7700</v>
      </c>
      <c r="E30" s="122">
        <v>0</v>
      </c>
      <c r="F30" s="123">
        <f t="shared" si="20"/>
        <v>0</v>
      </c>
      <c r="G30" s="122">
        <v>0</v>
      </c>
      <c r="H30" s="123">
        <f t="shared" si="21"/>
        <v>0</v>
      </c>
      <c r="I30" s="122">
        <v>0</v>
      </c>
      <c r="J30" s="123">
        <f t="shared" si="22"/>
        <v>0</v>
      </c>
      <c r="K30" s="93">
        <f t="shared" si="23"/>
        <v>0</v>
      </c>
      <c r="L30" s="86">
        <v>0.1</v>
      </c>
      <c r="M30" s="87">
        <f t="shared" si="24"/>
        <v>7700</v>
      </c>
      <c r="N30" s="93">
        <f t="shared" si="25"/>
        <v>7700</v>
      </c>
      <c r="O30" s="86">
        <v>0.1</v>
      </c>
      <c r="P30" s="87">
        <f t="shared" si="26"/>
        <v>7700</v>
      </c>
      <c r="Q30" s="86">
        <v>0.28000000000000003</v>
      </c>
      <c r="R30" s="87">
        <f t="shared" si="27"/>
        <v>21560.000000000004</v>
      </c>
      <c r="S30" s="93">
        <f t="shared" si="28"/>
        <v>29260.000000000004</v>
      </c>
      <c r="T30" s="88">
        <v>0.02</v>
      </c>
      <c r="U30" s="89">
        <f t="shared" si="29"/>
        <v>1540</v>
      </c>
      <c r="V30" s="88">
        <v>0.4</v>
      </c>
      <c r="W30" s="89">
        <f t="shared" si="34"/>
        <v>30800</v>
      </c>
      <c r="X30" s="93">
        <f t="shared" si="30"/>
        <v>32340</v>
      </c>
      <c r="Y30" s="88">
        <v>0</v>
      </c>
      <c r="Z30" s="89">
        <f t="shared" si="17"/>
        <v>0</v>
      </c>
      <c r="AA30" s="93">
        <f t="shared" si="31"/>
        <v>0</v>
      </c>
      <c r="AB30" s="81">
        <f t="shared" si="32"/>
        <v>0</v>
      </c>
      <c r="AC30" s="82">
        <f t="shared" si="33"/>
        <v>1</v>
      </c>
      <c r="AD30" s="159">
        <f t="shared" si="18"/>
        <v>29260.000000000004</v>
      </c>
    </row>
    <row r="31" spans="1:30" x14ac:dyDescent="0.25">
      <c r="A31" s="46" t="s">
        <v>115</v>
      </c>
      <c r="B31" s="90"/>
      <c r="C31" s="91">
        <v>0.1</v>
      </c>
      <c r="D31" s="85">
        <f t="shared" si="19"/>
        <v>0</v>
      </c>
      <c r="E31" s="122">
        <v>0</v>
      </c>
      <c r="F31" s="123">
        <f t="shared" si="20"/>
        <v>0</v>
      </c>
      <c r="G31" s="122">
        <v>0</v>
      </c>
      <c r="H31" s="123">
        <f t="shared" si="21"/>
        <v>0</v>
      </c>
      <c r="I31" s="122">
        <v>0</v>
      </c>
      <c r="J31" s="123">
        <f t="shared" si="22"/>
        <v>0</v>
      </c>
      <c r="K31" s="93">
        <f t="shared" si="23"/>
        <v>0</v>
      </c>
      <c r="L31" s="86">
        <v>0.01</v>
      </c>
      <c r="M31" s="87">
        <f t="shared" si="24"/>
        <v>0</v>
      </c>
      <c r="N31" s="93">
        <f t="shared" si="25"/>
        <v>0</v>
      </c>
      <c r="O31" s="86">
        <v>0.1</v>
      </c>
      <c r="P31" s="87">
        <f t="shared" si="26"/>
        <v>0</v>
      </c>
      <c r="Q31" s="86">
        <v>0.2</v>
      </c>
      <c r="R31" s="87">
        <f t="shared" si="27"/>
        <v>0</v>
      </c>
      <c r="S31" s="93">
        <f t="shared" si="28"/>
        <v>0</v>
      </c>
      <c r="T31" s="88">
        <v>0.05</v>
      </c>
      <c r="U31" s="89">
        <f t="shared" si="29"/>
        <v>0</v>
      </c>
      <c r="V31" s="88">
        <v>0.5</v>
      </c>
      <c r="W31" s="89">
        <f t="shared" si="34"/>
        <v>0</v>
      </c>
      <c r="X31" s="93">
        <f t="shared" si="30"/>
        <v>0</v>
      </c>
      <c r="Y31" s="88">
        <v>0.04</v>
      </c>
      <c r="Z31" s="89">
        <f t="shared" si="17"/>
        <v>0</v>
      </c>
      <c r="AA31" s="93">
        <f t="shared" si="31"/>
        <v>0</v>
      </c>
      <c r="AB31" s="81">
        <f t="shared" si="32"/>
        <v>0</v>
      </c>
      <c r="AC31" s="82">
        <f t="shared" si="33"/>
        <v>1</v>
      </c>
      <c r="AD31" s="159">
        <f t="shared" si="18"/>
        <v>0</v>
      </c>
    </row>
    <row r="32" spans="1:30" x14ac:dyDescent="0.25">
      <c r="A32" s="46" t="s">
        <v>72</v>
      </c>
      <c r="B32" s="90"/>
      <c r="C32" s="91">
        <v>0.1</v>
      </c>
      <c r="D32" s="85">
        <f t="shared" si="19"/>
        <v>0</v>
      </c>
      <c r="E32" s="122">
        <v>0</v>
      </c>
      <c r="F32" s="123">
        <f t="shared" si="20"/>
        <v>0</v>
      </c>
      <c r="G32" s="122">
        <v>0</v>
      </c>
      <c r="H32" s="123">
        <f t="shared" si="21"/>
        <v>0</v>
      </c>
      <c r="I32" s="122">
        <v>0</v>
      </c>
      <c r="J32" s="123">
        <f t="shared" si="22"/>
        <v>0</v>
      </c>
      <c r="K32" s="93">
        <f t="shared" si="23"/>
        <v>0</v>
      </c>
      <c r="L32" s="86">
        <v>0.01</v>
      </c>
      <c r="M32" s="87">
        <f t="shared" si="24"/>
        <v>0</v>
      </c>
      <c r="N32" s="93">
        <f t="shared" si="25"/>
        <v>0</v>
      </c>
      <c r="O32" s="86">
        <v>0.1</v>
      </c>
      <c r="P32" s="87">
        <f t="shared" si="26"/>
        <v>0</v>
      </c>
      <c r="Q32" s="86">
        <v>0.2</v>
      </c>
      <c r="R32" s="87">
        <f t="shared" si="27"/>
        <v>0</v>
      </c>
      <c r="S32" s="93">
        <f t="shared" si="28"/>
        <v>0</v>
      </c>
      <c r="T32" s="88">
        <v>0.05</v>
      </c>
      <c r="U32" s="89">
        <f t="shared" si="29"/>
        <v>0</v>
      </c>
      <c r="V32" s="88">
        <v>0.3</v>
      </c>
      <c r="W32" s="89">
        <f t="shared" si="34"/>
        <v>0</v>
      </c>
      <c r="X32" s="93">
        <f t="shared" si="30"/>
        <v>0</v>
      </c>
      <c r="Y32" s="88">
        <v>0.24</v>
      </c>
      <c r="Z32" s="89">
        <f t="shared" si="17"/>
        <v>0</v>
      </c>
      <c r="AA32" s="93">
        <f t="shared" si="31"/>
        <v>0</v>
      </c>
      <c r="AB32" s="81">
        <f t="shared" si="32"/>
        <v>0</v>
      </c>
      <c r="AC32" s="82">
        <f t="shared" si="33"/>
        <v>1</v>
      </c>
      <c r="AD32" s="159">
        <f t="shared" si="18"/>
        <v>0</v>
      </c>
    </row>
    <row r="33" spans="1:30" x14ac:dyDescent="0.25">
      <c r="A33" s="46" t="s">
        <v>52</v>
      </c>
      <c r="B33" s="90">
        <v>7900</v>
      </c>
      <c r="C33" s="91">
        <v>0.1</v>
      </c>
      <c r="D33" s="85">
        <f t="shared" si="19"/>
        <v>790</v>
      </c>
      <c r="E33" s="122">
        <v>0</v>
      </c>
      <c r="F33" s="123">
        <f t="shared" si="20"/>
        <v>0</v>
      </c>
      <c r="G33" s="122">
        <v>0</v>
      </c>
      <c r="H33" s="123">
        <f t="shared" si="21"/>
        <v>0</v>
      </c>
      <c r="I33" s="122">
        <v>0</v>
      </c>
      <c r="J33" s="123">
        <f t="shared" si="22"/>
        <v>0</v>
      </c>
      <c r="K33" s="93">
        <f t="shared" si="23"/>
        <v>0</v>
      </c>
      <c r="L33" s="86">
        <v>0.01</v>
      </c>
      <c r="M33" s="87">
        <f t="shared" si="24"/>
        <v>79</v>
      </c>
      <c r="N33" s="93">
        <f t="shared" si="25"/>
        <v>79</v>
      </c>
      <c r="O33" s="86">
        <v>0.1</v>
      </c>
      <c r="P33" s="87">
        <f t="shared" si="26"/>
        <v>790</v>
      </c>
      <c r="Q33" s="86">
        <v>0.2</v>
      </c>
      <c r="R33" s="87">
        <f t="shared" si="27"/>
        <v>1580</v>
      </c>
      <c r="S33" s="93">
        <f t="shared" si="28"/>
        <v>2370</v>
      </c>
      <c r="T33" s="88">
        <v>0.05</v>
      </c>
      <c r="U33" s="89">
        <f t="shared" si="29"/>
        <v>395</v>
      </c>
      <c r="V33" s="88">
        <v>0.54</v>
      </c>
      <c r="W33" s="89">
        <f t="shared" si="34"/>
        <v>4266</v>
      </c>
      <c r="X33" s="93">
        <f t="shared" si="30"/>
        <v>4661</v>
      </c>
      <c r="Y33" s="88">
        <v>0</v>
      </c>
      <c r="Z33" s="89">
        <f t="shared" si="17"/>
        <v>0</v>
      </c>
      <c r="AA33" s="93">
        <f t="shared" si="31"/>
        <v>0</v>
      </c>
      <c r="AB33" s="81">
        <f t="shared" si="32"/>
        <v>0</v>
      </c>
      <c r="AC33" s="82">
        <f t="shared" si="33"/>
        <v>1</v>
      </c>
      <c r="AD33" s="159">
        <f t="shared" si="18"/>
        <v>2370</v>
      </c>
    </row>
    <row r="34" spans="1:30" x14ac:dyDescent="0.25">
      <c r="A34" s="46" t="s">
        <v>189</v>
      </c>
      <c r="B34" s="90"/>
      <c r="C34" s="91">
        <v>0.1</v>
      </c>
      <c r="D34" s="85">
        <f t="shared" si="19"/>
        <v>0</v>
      </c>
      <c r="E34" s="122">
        <v>0</v>
      </c>
      <c r="F34" s="123">
        <f t="shared" si="20"/>
        <v>0</v>
      </c>
      <c r="G34" s="122">
        <v>0</v>
      </c>
      <c r="H34" s="123">
        <f t="shared" si="21"/>
        <v>0</v>
      </c>
      <c r="I34" s="122">
        <v>0</v>
      </c>
      <c r="J34" s="123">
        <f t="shared" si="22"/>
        <v>0</v>
      </c>
      <c r="K34" s="93">
        <f t="shared" si="23"/>
        <v>0</v>
      </c>
      <c r="L34" s="86">
        <v>0.01</v>
      </c>
      <c r="M34" s="87">
        <f t="shared" si="24"/>
        <v>0</v>
      </c>
      <c r="N34" s="93">
        <f t="shared" si="25"/>
        <v>0</v>
      </c>
      <c r="O34" s="86">
        <v>0.1</v>
      </c>
      <c r="P34" s="87">
        <f t="shared" si="26"/>
        <v>0</v>
      </c>
      <c r="Q34" s="86">
        <v>0.2</v>
      </c>
      <c r="R34" s="87">
        <f t="shared" si="27"/>
        <v>0</v>
      </c>
      <c r="S34" s="93">
        <f t="shared" si="28"/>
        <v>0</v>
      </c>
      <c r="T34" s="88">
        <v>0.05</v>
      </c>
      <c r="U34" s="89">
        <f t="shared" si="29"/>
        <v>0</v>
      </c>
      <c r="V34" s="88">
        <v>0.54</v>
      </c>
      <c r="W34" s="89">
        <f t="shared" si="34"/>
        <v>0</v>
      </c>
      <c r="X34" s="93">
        <f t="shared" si="30"/>
        <v>0</v>
      </c>
      <c r="Y34" s="88">
        <v>0</v>
      </c>
      <c r="Z34" s="89">
        <f t="shared" si="17"/>
        <v>0</v>
      </c>
      <c r="AA34" s="93">
        <f t="shared" si="31"/>
        <v>0</v>
      </c>
      <c r="AB34" s="81">
        <f t="shared" si="32"/>
        <v>0</v>
      </c>
      <c r="AC34" s="82">
        <f t="shared" si="33"/>
        <v>1</v>
      </c>
      <c r="AD34" s="159">
        <f t="shared" si="18"/>
        <v>0</v>
      </c>
    </row>
    <row r="35" spans="1:30" x14ac:dyDescent="0.25">
      <c r="A35" s="46" t="s">
        <v>190</v>
      </c>
      <c r="B35" s="90"/>
      <c r="C35" s="91">
        <v>0.1</v>
      </c>
      <c r="D35" s="85">
        <f t="shared" si="19"/>
        <v>0</v>
      </c>
      <c r="E35" s="122">
        <v>0</v>
      </c>
      <c r="F35" s="123">
        <f t="shared" si="20"/>
        <v>0</v>
      </c>
      <c r="G35" s="122">
        <v>0</v>
      </c>
      <c r="H35" s="123">
        <f t="shared" si="21"/>
        <v>0</v>
      </c>
      <c r="I35" s="122">
        <v>0</v>
      </c>
      <c r="J35" s="123">
        <f t="shared" si="22"/>
        <v>0</v>
      </c>
      <c r="K35" s="93">
        <f t="shared" si="23"/>
        <v>0</v>
      </c>
      <c r="L35" s="86">
        <v>0.01</v>
      </c>
      <c r="M35" s="87">
        <f t="shared" si="24"/>
        <v>0</v>
      </c>
      <c r="N35" s="93">
        <f t="shared" si="25"/>
        <v>0</v>
      </c>
      <c r="O35" s="86">
        <v>0.1</v>
      </c>
      <c r="P35" s="87">
        <f t="shared" si="26"/>
        <v>0</v>
      </c>
      <c r="Q35" s="86">
        <v>0.2</v>
      </c>
      <c r="R35" s="87">
        <f t="shared" si="27"/>
        <v>0</v>
      </c>
      <c r="S35" s="93">
        <f t="shared" si="28"/>
        <v>0</v>
      </c>
      <c r="T35" s="88">
        <v>0.05</v>
      </c>
      <c r="U35" s="89">
        <f t="shared" si="29"/>
        <v>0</v>
      </c>
      <c r="V35" s="88">
        <v>0.54</v>
      </c>
      <c r="W35" s="89">
        <f t="shared" si="34"/>
        <v>0</v>
      </c>
      <c r="X35" s="93">
        <f t="shared" si="30"/>
        <v>0</v>
      </c>
      <c r="Y35" s="88">
        <v>0</v>
      </c>
      <c r="Z35" s="89">
        <f t="shared" si="17"/>
        <v>0</v>
      </c>
      <c r="AA35" s="93">
        <f t="shared" si="31"/>
        <v>0</v>
      </c>
      <c r="AB35" s="81">
        <f t="shared" si="32"/>
        <v>0</v>
      </c>
      <c r="AC35" s="82">
        <f t="shared" si="33"/>
        <v>1</v>
      </c>
      <c r="AD35" s="159">
        <f t="shared" si="18"/>
        <v>0</v>
      </c>
    </row>
    <row r="36" spans="1:30" x14ac:dyDescent="0.25">
      <c r="A36" s="46" t="s">
        <v>6</v>
      </c>
      <c r="B36" s="90">
        <v>80000</v>
      </c>
      <c r="C36" s="91">
        <v>0.1</v>
      </c>
      <c r="D36" s="85">
        <f t="shared" si="19"/>
        <v>8000</v>
      </c>
      <c r="E36" s="122">
        <v>0</v>
      </c>
      <c r="F36" s="123">
        <f t="shared" si="20"/>
        <v>0</v>
      </c>
      <c r="G36" s="122">
        <v>0</v>
      </c>
      <c r="H36" s="123">
        <f t="shared" si="21"/>
        <v>0</v>
      </c>
      <c r="I36" s="122">
        <v>0</v>
      </c>
      <c r="J36" s="123">
        <f t="shared" si="22"/>
        <v>0</v>
      </c>
      <c r="K36" s="93">
        <f t="shared" si="23"/>
        <v>0</v>
      </c>
      <c r="L36" s="86">
        <v>0</v>
      </c>
      <c r="M36" s="87">
        <f t="shared" si="24"/>
        <v>0</v>
      </c>
      <c r="N36" s="93">
        <f t="shared" si="25"/>
        <v>0</v>
      </c>
      <c r="O36" s="86">
        <v>0</v>
      </c>
      <c r="P36" s="87">
        <f t="shared" si="26"/>
        <v>0</v>
      </c>
      <c r="Q36" s="86">
        <v>0</v>
      </c>
      <c r="R36" s="87">
        <f t="shared" si="27"/>
        <v>0</v>
      </c>
      <c r="S36" s="93">
        <f t="shared" si="28"/>
        <v>0</v>
      </c>
      <c r="T36" s="88">
        <v>0</v>
      </c>
      <c r="U36" s="89">
        <f t="shared" si="29"/>
        <v>0</v>
      </c>
      <c r="V36" s="88">
        <v>0.2</v>
      </c>
      <c r="W36" s="89">
        <f t="shared" si="34"/>
        <v>16000</v>
      </c>
      <c r="X36" s="93">
        <f t="shared" si="30"/>
        <v>16000</v>
      </c>
      <c r="Y36" s="88">
        <v>0.7</v>
      </c>
      <c r="Z36" s="89">
        <f t="shared" si="17"/>
        <v>56000</v>
      </c>
      <c r="AA36" s="93">
        <f t="shared" si="31"/>
        <v>56000</v>
      </c>
      <c r="AB36" s="81">
        <f t="shared" si="32"/>
        <v>0</v>
      </c>
      <c r="AC36" s="82">
        <f t="shared" si="33"/>
        <v>1</v>
      </c>
      <c r="AD36" s="159">
        <f t="shared" si="18"/>
        <v>56000</v>
      </c>
    </row>
    <row r="37" spans="1:30" x14ac:dyDescent="0.25">
      <c r="A37" s="46" t="s">
        <v>321</v>
      </c>
      <c r="B37" s="90"/>
      <c r="C37" s="91">
        <v>0</v>
      </c>
      <c r="D37" s="85">
        <f t="shared" si="19"/>
        <v>0</v>
      </c>
      <c r="E37" s="122">
        <v>0</v>
      </c>
      <c r="F37" s="123">
        <f t="shared" si="20"/>
        <v>0</v>
      </c>
      <c r="G37" s="122">
        <v>0</v>
      </c>
      <c r="H37" s="123">
        <f t="shared" si="21"/>
        <v>0</v>
      </c>
      <c r="I37" s="122">
        <v>0</v>
      </c>
      <c r="J37" s="123">
        <f t="shared" si="22"/>
        <v>0</v>
      </c>
      <c r="K37" s="93">
        <f t="shared" si="23"/>
        <v>0</v>
      </c>
      <c r="L37" s="86">
        <v>0</v>
      </c>
      <c r="M37" s="87">
        <f t="shared" si="24"/>
        <v>0</v>
      </c>
      <c r="N37" s="93">
        <f t="shared" si="25"/>
        <v>0</v>
      </c>
      <c r="O37" s="86">
        <v>0</v>
      </c>
      <c r="P37" s="87">
        <f t="shared" si="26"/>
        <v>0</v>
      </c>
      <c r="Q37" s="86">
        <v>0</v>
      </c>
      <c r="R37" s="87">
        <f t="shared" si="27"/>
        <v>0</v>
      </c>
      <c r="S37" s="93">
        <f t="shared" si="28"/>
        <v>0</v>
      </c>
      <c r="T37" s="88">
        <v>0</v>
      </c>
      <c r="U37" s="89">
        <f t="shared" si="29"/>
        <v>0</v>
      </c>
      <c r="V37" s="88">
        <v>0</v>
      </c>
      <c r="W37" s="89">
        <f t="shared" si="34"/>
        <v>0</v>
      </c>
      <c r="X37" s="93">
        <f t="shared" si="30"/>
        <v>0</v>
      </c>
      <c r="Y37" s="88">
        <v>1</v>
      </c>
      <c r="Z37" s="89">
        <f t="shared" si="17"/>
        <v>0</v>
      </c>
      <c r="AA37" s="93">
        <f t="shared" si="31"/>
        <v>0</v>
      </c>
      <c r="AB37" s="81">
        <f t="shared" si="32"/>
        <v>0</v>
      </c>
      <c r="AC37" s="82">
        <f t="shared" si="33"/>
        <v>1</v>
      </c>
      <c r="AD37" s="159">
        <f t="shared" si="18"/>
        <v>0</v>
      </c>
    </row>
    <row r="38" spans="1:30" x14ac:dyDescent="0.25">
      <c r="A38" s="46" t="s">
        <v>191</v>
      </c>
      <c r="B38" s="90">
        <v>386173</v>
      </c>
      <c r="C38" s="91">
        <v>0.1</v>
      </c>
      <c r="D38" s="85">
        <f t="shared" si="19"/>
        <v>38617.300000000003</v>
      </c>
      <c r="E38" s="122">
        <v>0</v>
      </c>
      <c r="F38" s="123">
        <f t="shared" si="20"/>
        <v>0</v>
      </c>
      <c r="G38" s="122">
        <v>0</v>
      </c>
      <c r="H38" s="123">
        <f t="shared" si="21"/>
        <v>0</v>
      </c>
      <c r="I38" s="122">
        <v>0</v>
      </c>
      <c r="J38" s="123">
        <f t="shared" si="22"/>
        <v>0</v>
      </c>
      <c r="K38" s="93">
        <f t="shared" si="23"/>
        <v>0</v>
      </c>
      <c r="L38" s="86">
        <v>0.01</v>
      </c>
      <c r="M38" s="87">
        <f t="shared" si="24"/>
        <v>3861.73</v>
      </c>
      <c r="N38" s="93">
        <f t="shared" si="25"/>
        <v>3861.73</v>
      </c>
      <c r="O38" s="86">
        <v>0.05</v>
      </c>
      <c r="P38" s="87">
        <f t="shared" si="26"/>
        <v>19308.650000000001</v>
      </c>
      <c r="Q38" s="86">
        <v>0.1</v>
      </c>
      <c r="R38" s="87">
        <f t="shared" si="27"/>
        <v>38617.300000000003</v>
      </c>
      <c r="S38" s="93">
        <f t="shared" si="28"/>
        <v>57925.950000000004</v>
      </c>
      <c r="T38" s="88">
        <v>0.02</v>
      </c>
      <c r="U38" s="89">
        <f t="shared" si="29"/>
        <v>7723.46</v>
      </c>
      <c r="V38" s="88">
        <v>0.4</v>
      </c>
      <c r="W38" s="89">
        <f t="shared" si="34"/>
        <v>154469.20000000001</v>
      </c>
      <c r="X38" s="93">
        <f t="shared" si="30"/>
        <v>162192.66</v>
      </c>
      <c r="Y38" s="88">
        <v>0.32</v>
      </c>
      <c r="Z38" s="89">
        <f t="shared" si="17"/>
        <v>123575.36</v>
      </c>
      <c r="AA38" s="93">
        <f t="shared" si="31"/>
        <v>123575.36</v>
      </c>
      <c r="AB38" s="81">
        <f t="shared" si="32"/>
        <v>0</v>
      </c>
      <c r="AC38" s="82">
        <f t="shared" si="33"/>
        <v>1</v>
      </c>
      <c r="AD38" s="159">
        <f t="shared" si="18"/>
        <v>181501.31</v>
      </c>
    </row>
    <row r="39" spans="1:30" x14ac:dyDescent="0.25">
      <c r="A39" s="46" t="s">
        <v>269</v>
      </c>
      <c r="B39" s="90">
        <v>478730</v>
      </c>
      <c r="C39" s="91">
        <v>0</v>
      </c>
      <c r="D39" s="85">
        <f t="shared" si="19"/>
        <v>0</v>
      </c>
      <c r="E39" s="122">
        <v>0</v>
      </c>
      <c r="F39" s="123">
        <f t="shared" si="20"/>
        <v>0</v>
      </c>
      <c r="G39" s="122">
        <v>0</v>
      </c>
      <c r="H39" s="123">
        <f t="shared" si="21"/>
        <v>0</v>
      </c>
      <c r="I39" s="122">
        <v>0</v>
      </c>
      <c r="J39" s="123">
        <f t="shared" si="22"/>
        <v>0</v>
      </c>
      <c r="K39" s="93">
        <f t="shared" si="23"/>
        <v>0</v>
      </c>
      <c r="L39" s="86">
        <v>0</v>
      </c>
      <c r="M39" s="87">
        <f t="shared" si="24"/>
        <v>0</v>
      </c>
      <c r="N39" s="93">
        <f t="shared" si="25"/>
        <v>0</v>
      </c>
      <c r="O39" s="86">
        <v>0</v>
      </c>
      <c r="P39" s="87">
        <f t="shared" si="26"/>
        <v>0</v>
      </c>
      <c r="Q39" s="86">
        <v>1</v>
      </c>
      <c r="R39" s="87">
        <f t="shared" si="27"/>
        <v>478730</v>
      </c>
      <c r="S39" s="93">
        <f t="shared" si="28"/>
        <v>478730</v>
      </c>
      <c r="T39" s="88">
        <v>0</v>
      </c>
      <c r="U39" s="89">
        <f t="shared" si="29"/>
        <v>0</v>
      </c>
      <c r="V39" s="88">
        <v>0</v>
      </c>
      <c r="W39" s="89">
        <f t="shared" si="34"/>
        <v>0</v>
      </c>
      <c r="X39" s="93">
        <f t="shared" si="30"/>
        <v>0</v>
      </c>
      <c r="Y39" s="88">
        <v>0</v>
      </c>
      <c r="Z39" s="89">
        <f t="shared" si="17"/>
        <v>0</v>
      </c>
      <c r="AA39" s="93">
        <f t="shared" si="31"/>
        <v>0</v>
      </c>
      <c r="AB39" s="81">
        <f t="shared" si="32"/>
        <v>0</v>
      </c>
      <c r="AC39" s="82">
        <f t="shared" si="33"/>
        <v>1</v>
      </c>
      <c r="AD39" s="159">
        <f t="shared" si="18"/>
        <v>478730</v>
      </c>
    </row>
    <row r="40" spans="1:30" x14ac:dyDescent="0.25">
      <c r="A40" s="46" t="s">
        <v>192</v>
      </c>
      <c r="B40" s="90">
        <v>115499</v>
      </c>
      <c r="C40" s="91">
        <v>0.1</v>
      </c>
      <c r="D40" s="85">
        <f t="shared" si="19"/>
        <v>11549.900000000001</v>
      </c>
      <c r="E40" s="122">
        <v>0</v>
      </c>
      <c r="F40" s="123">
        <f t="shared" si="20"/>
        <v>0</v>
      </c>
      <c r="G40" s="122">
        <v>0</v>
      </c>
      <c r="H40" s="123">
        <f t="shared" si="21"/>
        <v>0</v>
      </c>
      <c r="I40" s="122">
        <v>0</v>
      </c>
      <c r="J40" s="123">
        <f t="shared" si="22"/>
        <v>0</v>
      </c>
      <c r="K40" s="93">
        <f t="shared" si="23"/>
        <v>0</v>
      </c>
      <c r="L40" s="86">
        <v>0.01</v>
      </c>
      <c r="M40" s="87">
        <f t="shared" si="24"/>
        <v>1154.99</v>
      </c>
      <c r="N40" s="93">
        <f t="shared" si="25"/>
        <v>1154.99</v>
      </c>
      <c r="O40" s="86">
        <v>0.1</v>
      </c>
      <c r="P40" s="87">
        <f t="shared" si="26"/>
        <v>11549.900000000001</v>
      </c>
      <c r="Q40" s="86">
        <v>0.1</v>
      </c>
      <c r="R40" s="87">
        <f t="shared" si="27"/>
        <v>11549.900000000001</v>
      </c>
      <c r="S40" s="93">
        <f t="shared" si="28"/>
        <v>23099.800000000003</v>
      </c>
      <c r="T40" s="88">
        <v>0.1</v>
      </c>
      <c r="U40" s="89">
        <f t="shared" si="29"/>
        <v>11549.900000000001</v>
      </c>
      <c r="V40" s="88">
        <v>0.59</v>
      </c>
      <c r="W40" s="89">
        <f t="shared" si="34"/>
        <v>68144.41</v>
      </c>
      <c r="X40" s="93">
        <f t="shared" si="30"/>
        <v>79694.31</v>
      </c>
      <c r="Y40" s="88">
        <v>0</v>
      </c>
      <c r="Z40" s="89">
        <f t="shared" si="17"/>
        <v>0</v>
      </c>
      <c r="AA40" s="93">
        <f t="shared" si="31"/>
        <v>0</v>
      </c>
      <c r="AB40" s="81">
        <f t="shared" si="32"/>
        <v>0</v>
      </c>
      <c r="AC40" s="82">
        <f t="shared" si="33"/>
        <v>1</v>
      </c>
      <c r="AD40" s="159">
        <f t="shared" si="18"/>
        <v>23099.800000000003</v>
      </c>
    </row>
    <row r="41" spans="1:30" x14ac:dyDescent="0.25">
      <c r="A41" s="46" t="s">
        <v>247</v>
      </c>
      <c r="B41" s="90">
        <f>18600+83500+130844+13445</f>
        <v>246389</v>
      </c>
      <c r="C41" s="91">
        <v>0.1</v>
      </c>
      <c r="D41" s="85">
        <f t="shared" si="19"/>
        <v>24638.9</v>
      </c>
      <c r="E41" s="122">
        <v>0</v>
      </c>
      <c r="F41" s="123">
        <f t="shared" si="20"/>
        <v>0</v>
      </c>
      <c r="G41" s="122">
        <v>0</v>
      </c>
      <c r="H41" s="123">
        <f t="shared" si="21"/>
        <v>0</v>
      </c>
      <c r="I41" s="122">
        <v>0</v>
      </c>
      <c r="J41" s="123">
        <f t="shared" si="22"/>
        <v>0</v>
      </c>
      <c r="K41" s="93">
        <f t="shared" si="23"/>
        <v>0</v>
      </c>
      <c r="L41" s="86">
        <v>0.01</v>
      </c>
      <c r="M41" s="87">
        <f t="shared" si="24"/>
        <v>2463.89</v>
      </c>
      <c r="N41" s="93">
        <f t="shared" si="25"/>
        <v>2463.89</v>
      </c>
      <c r="O41" s="86">
        <v>0.1</v>
      </c>
      <c r="P41" s="87">
        <f t="shared" si="26"/>
        <v>24638.9</v>
      </c>
      <c r="Q41" s="86">
        <v>0.1</v>
      </c>
      <c r="R41" s="87">
        <f t="shared" si="27"/>
        <v>24638.9</v>
      </c>
      <c r="S41" s="93">
        <f t="shared" si="28"/>
        <v>49277.8</v>
      </c>
      <c r="T41" s="88">
        <v>0.1</v>
      </c>
      <c r="U41" s="89">
        <f t="shared" si="29"/>
        <v>24638.9</v>
      </c>
      <c r="V41" s="88">
        <v>0.59</v>
      </c>
      <c r="W41" s="89">
        <f t="shared" si="34"/>
        <v>145369.50999999998</v>
      </c>
      <c r="X41" s="93">
        <f t="shared" si="30"/>
        <v>170008.40999999997</v>
      </c>
      <c r="Y41" s="88">
        <v>0</v>
      </c>
      <c r="Z41" s="89">
        <f t="shared" si="17"/>
        <v>0</v>
      </c>
      <c r="AA41" s="93">
        <f t="shared" si="31"/>
        <v>0</v>
      </c>
      <c r="AB41" s="81">
        <f t="shared" si="32"/>
        <v>0</v>
      </c>
      <c r="AC41" s="82">
        <f t="shared" si="33"/>
        <v>1</v>
      </c>
      <c r="AD41" s="159">
        <f t="shared" si="18"/>
        <v>49277.8</v>
      </c>
    </row>
    <row r="42" spans="1:30" x14ac:dyDescent="0.25">
      <c r="A42" s="46" t="s">
        <v>48</v>
      </c>
      <c r="B42" s="90">
        <f>140000+77000</f>
        <v>217000</v>
      </c>
      <c r="C42" s="91">
        <v>0.1</v>
      </c>
      <c r="D42" s="85">
        <f t="shared" si="19"/>
        <v>21700</v>
      </c>
      <c r="E42" s="122">
        <v>0</v>
      </c>
      <c r="F42" s="123">
        <f t="shared" si="20"/>
        <v>0</v>
      </c>
      <c r="G42" s="122">
        <v>0</v>
      </c>
      <c r="H42" s="123">
        <f t="shared" si="21"/>
        <v>0</v>
      </c>
      <c r="I42" s="122">
        <v>0</v>
      </c>
      <c r="J42" s="123">
        <f t="shared" si="22"/>
        <v>0</v>
      </c>
      <c r="K42" s="93">
        <f t="shared" si="23"/>
        <v>0</v>
      </c>
      <c r="L42" s="86">
        <v>0.01</v>
      </c>
      <c r="M42" s="87">
        <f t="shared" si="24"/>
        <v>2170</v>
      </c>
      <c r="N42" s="93">
        <f t="shared" si="25"/>
        <v>2170</v>
      </c>
      <c r="O42" s="86">
        <v>0.1</v>
      </c>
      <c r="P42" s="87">
        <f t="shared" si="26"/>
        <v>21700</v>
      </c>
      <c r="Q42" s="86">
        <v>0.1</v>
      </c>
      <c r="R42" s="87">
        <f t="shared" si="27"/>
        <v>21700</v>
      </c>
      <c r="S42" s="93">
        <f t="shared" si="28"/>
        <v>43400</v>
      </c>
      <c r="T42" s="88">
        <v>0.1</v>
      </c>
      <c r="U42" s="89">
        <f t="shared" si="29"/>
        <v>21700</v>
      </c>
      <c r="V42" s="88">
        <v>0.59</v>
      </c>
      <c r="W42" s="89">
        <f t="shared" si="34"/>
        <v>128030</v>
      </c>
      <c r="X42" s="93">
        <f t="shared" si="30"/>
        <v>149730</v>
      </c>
      <c r="Y42" s="88">
        <v>0</v>
      </c>
      <c r="Z42" s="89">
        <f t="shared" si="17"/>
        <v>0</v>
      </c>
      <c r="AA42" s="93">
        <f t="shared" si="31"/>
        <v>0</v>
      </c>
      <c r="AB42" s="81">
        <f t="shared" si="32"/>
        <v>0</v>
      </c>
      <c r="AC42" s="82">
        <f t="shared" si="33"/>
        <v>1</v>
      </c>
      <c r="AD42" s="159">
        <f t="shared" si="18"/>
        <v>43400</v>
      </c>
    </row>
    <row r="43" spans="1:30" x14ac:dyDescent="0.25">
      <c r="A43" s="46" t="s">
        <v>49</v>
      </c>
      <c r="B43" s="90">
        <v>28151</v>
      </c>
      <c r="C43" s="91">
        <v>0.1</v>
      </c>
      <c r="D43" s="85">
        <f t="shared" si="19"/>
        <v>2815.1000000000004</v>
      </c>
      <c r="E43" s="122">
        <v>0</v>
      </c>
      <c r="F43" s="123">
        <f t="shared" si="20"/>
        <v>0</v>
      </c>
      <c r="G43" s="122">
        <v>0</v>
      </c>
      <c r="H43" s="123">
        <f t="shared" si="21"/>
        <v>0</v>
      </c>
      <c r="I43" s="122">
        <v>0</v>
      </c>
      <c r="J43" s="123">
        <f t="shared" si="22"/>
        <v>0</v>
      </c>
      <c r="K43" s="93">
        <f t="shared" si="23"/>
        <v>0</v>
      </c>
      <c r="L43" s="86">
        <v>0.01</v>
      </c>
      <c r="M43" s="87">
        <f t="shared" si="24"/>
        <v>281.51</v>
      </c>
      <c r="N43" s="93">
        <f t="shared" si="25"/>
        <v>281.51</v>
      </c>
      <c r="O43" s="86">
        <v>0.1</v>
      </c>
      <c r="P43" s="87">
        <f t="shared" si="26"/>
        <v>2815.1000000000004</v>
      </c>
      <c r="Q43" s="86">
        <v>0.2</v>
      </c>
      <c r="R43" s="87">
        <f t="shared" si="27"/>
        <v>5630.2000000000007</v>
      </c>
      <c r="S43" s="93">
        <f t="shared" si="28"/>
        <v>8445.3000000000011</v>
      </c>
      <c r="T43" s="88">
        <v>0.1</v>
      </c>
      <c r="U43" s="89">
        <f t="shared" si="29"/>
        <v>2815.1000000000004</v>
      </c>
      <c r="V43" s="88">
        <v>0.49</v>
      </c>
      <c r="W43" s="89">
        <f t="shared" si="34"/>
        <v>13793.99</v>
      </c>
      <c r="X43" s="93">
        <f t="shared" si="30"/>
        <v>16609.09</v>
      </c>
      <c r="Y43" s="88">
        <v>0</v>
      </c>
      <c r="Z43" s="89">
        <f t="shared" si="17"/>
        <v>0</v>
      </c>
      <c r="AA43" s="93">
        <f t="shared" si="31"/>
        <v>0</v>
      </c>
      <c r="AB43" s="81">
        <f t="shared" si="32"/>
        <v>0</v>
      </c>
      <c r="AC43" s="82">
        <f t="shared" si="33"/>
        <v>1</v>
      </c>
      <c r="AD43" s="159">
        <f t="shared" si="18"/>
        <v>8445.3000000000011</v>
      </c>
    </row>
    <row r="44" spans="1:30" x14ac:dyDescent="0.25">
      <c r="A44" s="46" t="s">
        <v>193</v>
      </c>
      <c r="B44" s="90">
        <v>602772</v>
      </c>
      <c r="C44" s="91">
        <v>0</v>
      </c>
      <c r="D44" s="85">
        <f t="shared" si="19"/>
        <v>0</v>
      </c>
      <c r="E44" s="122">
        <v>0</v>
      </c>
      <c r="F44" s="123">
        <f t="shared" si="20"/>
        <v>0</v>
      </c>
      <c r="G44" s="122">
        <v>0</v>
      </c>
      <c r="H44" s="123">
        <f t="shared" si="21"/>
        <v>0</v>
      </c>
      <c r="I44" s="122">
        <v>0</v>
      </c>
      <c r="J44" s="123">
        <f t="shared" si="22"/>
        <v>0</v>
      </c>
      <c r="K44" s="93">
        <f t="shared" si="23"/>
        <v>0</v>
      </c>
      <c r="L44" s="86">
        <v>0</v>
      </c>
      <c r="M44" s="87">
        <f t="shared" si="24"/>
        <v>0</v>
      </c>
      <c r="N44" s="93">
        <f t="shared" si="25"/>
        <v>0</v>
      </c>
      <c r="O44" s="86">
        <v>0</v>
      </c>
      <c r="P44" s="87">
        <f t="shared" si="26"/>
        <v>0</v>
      </c>
      <c r="Q44" s="86">
        <v>1</v>
      </c>
      <c r="R44" s="87">
        <f t="shared" si="27"/>
        <v>602772</v>
      </c>
      <c r="S44" s="93">
        <f t="shared" si="28"/>
        <v>602772</v>
      </c>
      <c r="T44" s="88">
        <v>0</v>
      </c>
      <c r="U44" s="89">
        <f t="shared" si="29"/>
        <v>0</v>
      </c>
      <c r="V44" s="88">
        <v>0</v>
      </c>
      <c r="W44" s="89">
        <f t="shared" si="34"/>
        <v>0</v>
      </c>
      <c r="X44" s="93">
        <f t="shared" si="30"/>
        <v>0</v>
      </c>
      <c r="Y44" s="88">
        <v>0</v>
      </c>
      <c r="Z44" s="89">
        <f t="shared" si="17"/>
        <v>0</v>
      </c>
      <c r="AA44" s="93">
        <f t="shared" si="31"/>
        <v>0</v>
      </c>
      <c r="AB44" s="81">
        <f t="shared" si="32"/>
        <v>0</v>
      </c>
      <c r="AC44" s="82">
        <f t="shared" si="33"/>
        <v>1</v>
      </c>
      <c r="AD44" s="159">
        <f t="shared" si="18"/>
        <v>602772</v>
      </c>
    </row>
    <row r="45" spans="1:30" x14ac:dyDescent="0.25">
      <c r="A45" s="46" t="s">
        <v>213</v>
      </c>
      <c r="B45" s="90">
        <v>3840000</v>
      </c>
      <c r="C45" s="91">
        <v>0</v>
      </c>
      <c r="D45" s="85">
        <f t="shared" si="19"/>
        <v>0</v>
      </c>
      <c r="E45" s="122">
        <v>0</v>
      </c>
      <c r="F45" s="123">
        <f t="shared" si="20"/>
        <v>0</v>
      </c>
      <c r="G45" s="122">
        <v>0</v>
      </c>
      <c r="H45" s="123">
        <f t="shared" si="21"/>
        <v>0</v>
      </c>
      <c r="I45" s="122">
        <v>0</v>
      </c>
      <c r="J45" s="123">
        <f t="shared" si="22"/>
        <v>0</v>
      </c>
      <c r="K45" s="93">
        <f t="shared" si="23"/>
        <v>0</v>
      </c>
      <c r="L45" s="86">
        <v>1</v>
      </c>
      <c r="M45" s="87">
        <f t="shared" si="24"/>
        <v>3840000</v>
      </c>
      <c r="N45" s="93">
        <f t="shared" si="25"/>
        <v>3840000</v>
      </c>
      <c r="O45" s="86">
        <v>0</v>
      </c>
      <c r="P45" s="87">
        <f t="shared" si="26"/>
        <v>0</v>
      </c>
      <c r="Q45" s="86">
        <v>0</v>
      </c>
      <c r="R45" s="87">
        <f t="shared" si="27"/>
        <v>0</v>
      </c>
      <c r="S45" s="93">
        <f t="shared" si="28"/>
        <v>0</v>
      </c>
      <c r="T45" s="88">
        <v>0</v>
      </c>
      <c r="U45" s="89">
        <f t="shared" si="29"/>
        <v>0</v>
      </c>
      <c r="V45" s="88">
        <v>0</v>
      </c>
      <c r="W45" s="89">
        <f t="shared" si="34"/>
        <v>0</v>
      </c>
      <c r="X45" s="93">
        <f t="shared" si="30"/>
        <v>0</v>
      </c>
      <c r="Y45" s="88">
        <v>0</v>
      </c>
      <c r="Z45" s="89">
        <f t="shared" si="17"/>
        <v>0</v>
      </c>
      <c r="AA45" s="93">
        <f t="shared" si="31"/>
        <v>0</v>
      </c>
      <c r="AB45" s="81">
        <f t="shared" si="32"/>
        <v>0</v>
      </c>
      <c r="AC45" s="82">
        <f t="shared" si="33"/>
        <v>1</v>
      </c>
      <c r="AD45" s="159">
        <f t="shared" si="18"/>
        <v>0</v>
      </c>
    </row>
    <row r="46" spans="1:30" x14ac:dyDescent="0.25">
      <c r="A46" s="46" t="s">
        <v>264</v>
      </c>
      <c r="B46" s="90">
        <v>10997500</v>
      </c>
      <c r="C46" s="91">
        <v>0</v>
      </c>
      <c r="D46" s="85">
        <f t="shared" si="19"/>
        <v>0</v>
      </c>
      <c r="E46" s="122">
        <v>0</v>
      </c>
      <c r="F46" s="123">
        <f t="shared" si="20"/>
        <v>0</v>
      </c>
      <c r="G46" s="122">
        <v>0</v>
      </c>
      <c r="H46" s="123">
        <f t="shared" si="21"/>
        <v>0</v>
      </c>
      <c r="I46" s="122">
        <v>0</v>
      </c>
      <c r="J46" s="123">
        <f t="shared" si="22"/>
        <v>0</v>
      </c>
      <c r="K46" s="93">
        <f t="shared" si="23"/>
        <v>0</v>
      </c>
      <c r="L46" s="86">
        <v>1</v>
      </c>
      <c r="M46" s="87">
        <f t="shared" si="24"/>
        <v>10997500</v>
      </c>
      <c r="N46" s="93">
        <f t="shared" si="25"/>
        <v>10997500</v>
      </c>
      <c r="O46" s="86">
        <v>0</v>
      </c>
      <c r="P46" s="87">
        <f t="shared" si="26"/>
        <v>0</v>
      </c>
      <c r="Q46" s="86">
        <v>0</v>
      </c>
      <c r="R46" s="87">
        <f t="shared" si="27"/>
        <v>0</v>
      </c>
      <c r="S46" s="93">
        <f t="shared" si="28"/>
        <v>0</v>
      </c>
      <c r="T46" s="88">
        <v>0</v>
      </c>
      <c r="U46" s="89">
        <f t="shared" si="29"/>
        <v>0</v>
      </c>
      <c r="V46" s="88">
        <v>0</v>
      </c>
      <c r="W46" s="89">
        <f t="shared" si="34"/>
        <v>0</v>
      </c>
      <c r="X46" s="93">
        <f t="shared" si="30"/>
        <v>0</v>
      </c>
      <c r="Y46" s="88">
        <v>0</v>
      </c>
      <c r="Z46" s="89">
        <f t="shared" si="17"/>
        <v>0</v>
      </c>
      <c r="AA46" s="93">
        <f t="shared" si="31"/>
        <v>0</v>
      </c>
      <c r="AB46" s="81">
        <f t="shared" si="32"/>
        <v>0</v>
      </c>
      <c r="AC46" s="82">
        <f t="shared" si="33"/>
        <v>1</v>
      </c>
      <c r="AD46" s="159">
        <f t="shared" si="18"/>
        <v>0</v>
      </c>
    </row>
    <row r="47" spans="1:30" x14ac:dyDescent="0.25">
      <c r="A47" s="46" t="s">
        <v>278</v>
      </c>
      <c r="B47" s="90">
        <v>902324</v>
      </c>
      <c r="C47" s="91">
        <v>0</v>
      </c>
      <c r="D47" s="85">
        <f t="shared" si="19"/>
        <v>0</v>
      </c>
      <c r="E47" s="122">
        <v>0</v>
      </c>
      <c r="F47" s="123">
        <f t="shared" si="20"/>
        <v>0</v>
      </c>
      <c r="G47" s="122">
        <v>0</v>
      </c>
      <c r="H47" s="123">
        <f t="shared" si="21"/>
        <v>0</v>
      </c>
      <c r="I47" s="122">
        <v>0</v>
      </c>
      <c r="J47" s="123">
        <f t="shared" si="22"/>
        <v>0</v>
      </c>
      <c r="K47" s="93">
        <f t="shared" si="23"/>
        <v>0</v>
      </c>
      <c r="L47" s="86">
        <v>0</v>
      </c>
      <c r="M47" s="87">
        <f t="shared" si="24"/>
        <v>0</v>
      </c>
      <c r="N47" s="93">
        <f t="shared" si="25"/>
        <v>0</v>
      </c>
      <c r="O47" s="86">
        <v>0</v>
      </c>
      <c r="P47" s="87">
        <f t="shared" si="26"/>
        <v>0</v>
      </c>
      <c r="Q47" s="86">
        <v>0</v>
      </c>
      <c r="R47" s="87">
        <f t="shared" si="27"/>
        <v>0</v>
      </c>
      <c r="S47" s="93">
        <f t="shared" si="28"/>
        <v>0</v>
      </c>
      <c r="T47" s="88">
        <v>0</v>
      </c>
      <c r="U47" s="89">
        <f t="shared" si="29"/>
        <v>0</v>
      </c>
      <c r="V47" s="88">
        <v>0</v>
      </c>
      <c r="W47" s="89">
        <f t="shared" si="34"/>
        <v>0</v>
      </c>
      <c r="X47" s="93">
        <f t="shared" si="30"/>
        <v>0</v>
      </c>
      <c r="Y47" s="88">
        <v>1</v>
      </c>
      <c r="Z47" s="89">
        <f t="shared" si="17"/>
        <v>902324</v>
      </c>
      <c r="AA47" s="93">
        <f t="shared" si="31"/>
        <v>902324</v>
      </c>
      <c r="AB47" s="81">
        <f t="shared" si="32"/>
        <v>0</v>
      </c>
      <c r="AC47" s="82">
        <f t="shared" si="33"/>
        <v>1</v>
      </c>
      <c r="AD47" s="159">
        <f t="shared" si="18"/>
        <v>902324</v>
      </c>
    </row>
    <row r="48" spans="1:30" x14ac:dyDescent="0.25">
      <c r="A48" s="46" t="s">
        <v>279</v>
      </c>
      <c r="B48" s="90"/>
      <c r="C48" s="91">
        <v>0</v>
      </c>
      <c r="D48" s="85">
        <f t="shared" si="19"/>
        <v>0</v>
      </c>
      <c r="E48" s="122">
        <v>0</v>
      </c>
      <c r="F48" s="123">
        <f t="shared" si="20"/>
        <v>0</v>
      </c>
      <c r="G48" s="122">
        <v>0</v>
      </c>
      <c r="H48" s="123">
        <f t="shared" si="21"/>
        <v>0</v>
      </c>
      <c r="I48" s="122">
        <v>0</v>
      </c>
      <c r="J48" s="123">
        <f t="shared" si="22"/>
        <v>0</v>
      </c>
      <c r="K48" s="93">
        <f t="shared" si="23"/>
        <v>0</v>
      </c>
      <c r="L48" s="86">
        <v>0</v>
      </c>
      <c r="M48" s="87">
        <f t="shared" si="24"/>
        <v>0</v>
      </c>
      <c r="N48" s="93">
        <f t="shared" si="25"/>
        <v>0</v>
      </c>
      <c r="O48" s="86">
        <v>0</v>
      </c>
      <c r="P48" s="87">
        <f t="shared" si="26"/>
        <v>0</v>
      </c>
      <c r="Q48" s="86">
        <v>0</v>
      </c>
      <c r="R48" s="87">
        <f t="shared" si="27"/>
        <v>0</v>
      </c>
      <c r="S48" s="93">
        <f t="shared" si="28"/>
        <v>0</v>
      </c>
      <c r="T48" s="88">
        <v>0</v>
      </c>
      <c r="U48" s="89">
        <v>0</v>
      </c>
      <c r="V48" s="88">
        <v>0</v>
      </c>
      <c r="W48" s="89">
        <f t="shared" si="34"/>
        <v>0</v>
      </c>
      <c r="X48" s="93">
        <f t="shared" si="30"/>
        <v>0</v>
      </c>
      <c r="Y48" s="88">
        <v>1</v>
      </c>
      <c r="Z48" s="89">
        <f t="shared" si="17"/>
        <v>0</v>
      </c>
      <c r="AA48" s="93">
        <f t="shared" si="31"/>
        <v>0</v>
      </c>
      <c r="AB48" s="81">
        <f t="shared" si="32"/>
        <v>0</v>
      </c>
      <c r="AC48" s="82">
        <f t="shared" si="33"/>
        <v>1</v>
      </c>
      <c r="AD48" s="159">
        <f t="shared" si="18"/>
        <v>0</v>
      </c>
    </row>
    <row r="49" spans="1:30" x14ac:dyDescent="0.25">
      <c r="A49" s="46" t="s">
        <v>232</v>
      </c>
      <c r="B49" s="90">
        <v>377200</v>
      </c>
      <c r="C49" s="91">
        <v>0</v>
      </c>
      <c r="D49" s="85">
        <f t="shared" si="19"/>
        <v>0</v>
      </c>
      <c r="E49" s="122">
        <v>0</v>
      </c>
      <c r="F49" s="123">
        <f t="shared" si="20"/>
        <v>0</v>
      </c>
      <c r="G49" s="122">
        <v>0</v>
      </c>
      <c r="H49" s="123">
        <f t="shared" si="21"/>
        <v>0</v>
      </c>
      <c r="I49" s="122">
        <v>0</v>
      </c>
      <c r="J49" s="123">
        <f t="shared" si="22"/>
        <v>0</v>
      </c>
      <c r="K49" s="93">
        <f t="shared" si="23"/>
        <v>0</v>
      </c>
      <c r="L49" s="86">
        <v>0</v>
      </c>
      <c r="M49" s="87">
        <f t="shared" si="24"/>
        <v>0</v>
      </c>
      <c r="N49" s="93">
        <f t="shared" si="25"/>
        <v>0</v>
      </c>
      <c r="O49" s="86">
        <v>0</v>
      </c>
      <c r="P49" s="87">
        <f t="shared" si="26"/>
        <v>0</v>
      </c>
      <c r="Q49" s="86">
        <v>0</v>
      </c>
      <c r="R49" s="87">
        <f t="shared" si="27"/>
        <v>0</v>
      </c>
      <c r="S49" s="93">
        <f t="shared" si="28"/>
        <v>0</v>
      </c>
      <c r="T49" s="88">
        <v>0</v>
      </c>
      <c r="U49" s="89">
        <f t="shared" si="29"/>
        <v>0</v>
      </c>
      <c r="V49" s="88">
        <v>0.5</v>
      </c>
      <c r="W49" s="89">
        <f t="shared" si="34"/>
        <v>188600</v>
      </c>
      <c r="X49" s="93">
        <f t="shared" si="30"/>
        <v>188600</v>
      </c>
      <c r="Y49" s="88">
        <v>0.5</v>
      </c>
      <c r="Z49" s="89">
        <f t="shared" si="17"/>
        <v>188600</v>
      </c>
      <c r="AA49" s="93">
        <f t="shared" si="31"/>
        <v>188600</v>
      </c>
      <c r="AB49" s="81">
        <f t="shared" si="32"/>
        <v>0</v>
      </c>
      <c r="AC49" s="82">
        <f t="shared" si="33"/>
        <v>1</v>
      </c>
      <c r="AD49" s="159">
        <f t="shared" si="18"/>
        <v>188600</v>
      </c>
    </row>
    <row r="50" spans="1:30" x14ac:dyDescent="0.25">
      <c r="A50" s="46" t="s">
        <v>70</v>
      </c>
      <c r="B50" s="90"/>
      <c r="C50" s="91">
        <v>0.1</v>
      </c>
      <c r="D50" s="85">
        <f t="shared" si="19"/>
        <v>0</v>
      </c>
      <c r="E50" s="122">
        <v>0</v>
      </c>
      <c r="F50" s="123">
        <f t="shared" si="20"/>
        <v>0</v>
      </c>
      <c r="G50" s="122">
        <v>0</v>
      </c>
      <c r="H50" s="123">
        <f t="shared" si="21"/>
        <v>0</v>
      </c>
      <c r="I50" s="122">
        <v>0</v>
      </c>
      <c r="J50" s="123">
        <f t="shared" si="22"/>
        <v>0</v>
      </c>
      <c r="K50" s="93">
        <f t="shared" si="23"/>
        <v>0</v>
      </c>
      <c r="L50" s="86">
        <v>0.01</v>
      </c>
      <c r="M50" s="87">
        <f t="shared" si="24"/>
        <v>0</v>
      </c>
      <c r="N50" s="93">
        <f t="shared" si="25"/>
        <v>0</v>
      </c>
      <c r="O50" s="86">
        <v>0.1</v>
      </c>
      <c r="P50" s="87">
        <f t="shared" si="26"/>
        <v>0</v>
      </c>
      <c r="Q50" s="86">
        <v>0.2</v>
      </c>
      <c r="R50" s="87">
        <f t="shared" si="27"/>
        <v>0</v>
      </c>
      <c r="S50" s="93">
        <f t="shared" si="28"/>
        <v>0</v>
      </c>
      <c r="T50" s="88">
        <v>0.1</v>
      </c>
      <c r="U50" s="89">
        <f t="shared" si="29"/>
        <v>0</v>
      </c>
      <c r="V50" s="88">
        <v>0.49</v>
      </c>
      <c r="W50" s="89">
        <f t="shared" si="34"/>
        <v>0</v>
      </c>
      <c r="X50" s="93">
        <f t="shared" si="30"/>
        <v>0</v>
      </c>
      <c r="Y50" s="88">
        <v>0</v>
      </c>
      <c r="Z50" s="89">
        <f t="shared" si="17"/>
        <v>0</v>
      </c>
      <c r="AA50" s="93">
        <f t="shared" si="31"/>
        <v>0</v>
      </c>
      <c r="AB50" s="81">
        <f t="shared" si="32"/>
        <v>0</v>
      </c>
      <c r="AC50" s="82">
        <f t="shared" si="33"/>
        <v>1</v>
      </c>
      <c r="AD50" s="159">
        <f t="shared" si="18"/>
        <v>0</v>
      </c>
    </row>
    <row r="51" spans="1:30" x14ac:dyDescent="0.25">
      <c r="A51" s="46" t="s">
        <v>181</v>
      </c>
      <c r="B51" s="92">
        <f>SUM(B16:B50)</f>
        <v>23203741</v>
      </c>
      <c r="C51" s="44"/>
      <c r="D51" s="93">
        <f>SUM(D16:D50)</f>
        <v>445641.2</v>
      </c>
      <c r="E51" s="124"/>
      <c r="F51" s="125">
        <f>SUM(F16:F50)</f>
        <v>691016.65</v>
      </c>
      <c r="G51" s="124"/>
      <c r="H51" s="125">
        <f>SUM(H16:H50)</f>
        <v>703820.15</v>
      </c>
      <c r="I51" s="124"/>
      <c r="J51" s="125">
        <f>SUM(J16:J50)</f>
        <v>21039.760000000002</v>
      </c>
      <c r="K51" s="93">
        <f>+J51+H51+F51</f>
        <v>1415876.56</v>
      </c>
      <c r="L51" s="44"/>
      <c r="M51" s="95">
        <f>SUM(M16:M50)</f>
        <v>14879824.720000001</v>
      </c>
      <c r="N51" s="93">
        <f>SUM(N16:N50)</f>
        <v>14879824.720000001</v>
      </c>
      <c r="O51" s="44"/>
      <c r="P51" s="95">
        <f>SUM(P16:P50)</f>
        <v>397474.15</v>
      </c>
      <c r="Q51" s="44"/>
      <c r="R51" s="95">
        <f>SUM(R16:R50)</f>
        <v>1486312.95</v>
      </c>
      <c r="S51" s="93">
        <f>SUM(S16:S50)</f>
        <v>1883787.0999999999</v>
      </c>
      <c r="T51" s="44"/>
      <c r="U51" s="94">
        <f>SUM(U16:U50)</f>
        <v>570706.97</v>
      </c>
      <c r="V51" s="44"/>
      <c r="W51" s="94">
        <f>SUM(W16:W50)</f>
        <v>2057519.1400000001</v>
      </c>
      <c r="X51" s="93">
        <f>SUM(X16:X50)</f>
        <v>2628226.11</v>
      </c>
      <c r="Y51" s="79"/>
      <c r="Z51" s="94">
        <f>SUM(Z16:Z50)</f>
        <v>1950385.31</v>
      </c>
      <c r="AA51" s="93">
        <f>SUM(AA16:AA50)</f>
        <v>1950385.31</v>
      </c>
      <c r="AB51" s="81">
        <f t="shared" si="32"/>
        <v>0</v>
      </c>
      <c r="AC51" s="82">
        <f t="shared" si="33"/>
        <v>0</v>
      </c>
      <c r="AD51" s="159">
        <f>SUM(AD16:AD50)</f>
        <v>5250048.9699999988</v>
      </c>
    </row>
    <row r="54" spans="1:30" ht="30" x14ac:dyDescent="0.25">
      <c r="A54" s="71" t="s">
        <v>199</v>
      </c>
      <c r="B54" s="84" t="s">
        <v>180</v>
      </c>
      <c r="C54" s="74" t="s">
        <v>159</v>
      </c>
      <c r="D54" s="71" t="s">
        <v>176</v>
      </c>
      <c r="E54" s="106" t="s">
        <v>200</v>
      </c>
      <c r="F54" s="108" t="s">
        <v>176</v>
      </c>
      <c r="G54" s="80" t="s">
        <v>201</v>
      </c>
      <c r="H54" s="80" t="s">
        <v>202</v>
      </c>
      <c r="I54" s="99"/>
      <c r="J54" s="99"/>
      <c r="K54" s="99"/>
      <c r="L54" s="99"/>
      <c r="M54" s="99"/>
      <c r="N54" s="99"/>
      <c r="O54" s="99"/>
      <c r="P54" s="99"/>
      <c r="Q54" s="100"/>
      <c r="R54" s="100"/>
      <c r="S54" s="100"/>
      <c r="T54" s="99"/>
      <c r="U54" s="99"/>
      <c r="V54" s="100"/>
      <c r="W54" s="100"/>
      <c r="X54" s="100"/>
      <c r="Y54" s="100"/>
      <c r="Z54" s="100"/>
      <c r="AA54" s="100"/>
      <c r="AB54" s="101"/>
      <c r="AC54" s="101"/>
    </row>
    <row r="55" spans="1:30" x14ac:dyDescent="0.25">
      <c r="A55" s="46" t="s">
        <v>204</v>
      </c>
      <c r="B55" s="90">
        <v>7933728</v>
      </c>
      <c r="C55" s="91">
        <v>0.5</v>
      </c>
      <c r="D55" s="85">
        <f>+B55*C55</f>
        <v>3966864</v>
      </c>
      <c r="E55" s="107">
        <v>0.5</v>
      </c>
      <c r="F55" s="109">
        <f>+E55*B55</f>
        <v>3966864</v>
      </c>
      <c r="G55" s="110">
        <f>+C55+E55</f>
        <v>1</v>
      </c>
      <c r="H55" s="109">
        <f>+(F55+D55)-B55</f>
        <v>0</v>
      </c>
      <c r="I55" s="103"/>
      <c r="J55" s="102"/>
      <c r="K55" s="102"/>
      <c r="L55" s="103"/>
      <c r="M55" s="102"/>
      <c r="N55" s="102"/>
      <c r="O55" s="103"/>
      <c r="P55" s="102"/>
      <c r="Q55" s="103"/>
      <c r="R55" s="102"/>
      <c r="S55" s="102"/>
      <c r="T55" s="103"/>
      <c r="U55" s="102"/>
      <c r="V55" s="103"/>
      <c r="W55" s="102"/>
      <c r="X55" s="102"/>
      <c r="Y55" s="103"/>
      <c r="Z55" s="102"/>
      <c r="AA55" s="104"/>
      <c r="AB55" s="104"/>
      <c r="AC55" s="105"/>
    </row>
    <row r="56" spans="1:30" x14ac:dyDescent="0.25">
      <c r="A56" s="46" t="s">
        <v>205</v>
      </c>
      <c r="B56" s="90"/>
      <c r="C56" s="91">
        <v>0.5</v>
      </c>
      <c r="D56" s="85">
        <f t="shared" ref="D56:D62" si="35">+B56*C56</f>
        <v>0</v>
      </c>
      <c r="E56" s="107">
        <v>0.5</v>
      </c>
      <c r="F56" s="109">
        <f t="shared" ref="F56:F62" si="36">+E56*B56</f>
        <v>0</v>
      </c>
      <c r="G56" s="110">
        <f t="shared" ref="G56:G63" si="37">+C56+E56</f>
        <v>1</v>
      </c>
      <c r="H56" s="109">
        <f t="shared" ref="H56:H63" si="38">+(F56+D56)-B56</f>
        <v>0</v>
      </c>
      <c r="I56" s="103"/>
      <c r="J56" s="102"/>
      <c r="K56" s="102"/>
      <c r="L56" s="103"/>
      <c r="M56" s="102"/>
      <c r="N56" s="102"/>
      <c r="O56" s="103"/>
      <c r="P56" s="102"/>
      <c r="Q56" s="103"/>
      <c r="R56" s="102"/>
      <c r="S56" s="102"/>
      <c r="T56" s="103"/>
      <c r="U56" s="102"/>
      <c r="V56" s="103"/>
      <c r="W56" s="102"/>
      <c r="X56" s="102"/>
      <c r="Y56" s="103"/>
      <c r="Z56" s="102"/>
      <c r="AA56" s="104"/>
      <c r="AB56" s="104"/>
      <c r="AC56" s="105"/>
    </row>
    <row r="57" spans="1:30" x14ac:dyDescent="0.25">
      <c r="A57" s="46" t="s">
        <v>206</v>
      </c>
      <c r="B57" s="90">
        <v>2064000</v>
      </c>
      <c r="C57" s="91">
        <v>0.5</v>
      </c>
      <c r="D57" s="85">
        <f t="shared" si="35"/>
        <v>1032000</v>
      </c>
      <c r="E57" s="107">
        <v>0.5</v>
      </c>
      <c r="F57" s="109">
        <f t="shared" si="36"/>
        <v>1032000</v>
      </c>
      <c r="G57" s="110">
        <f t="shared" si="37"/>
        <v>1</v>
      </c>
      <c r="H57" s="109">
        <f t="shared" si="38"/>
        <v>0</v>
      </c>
      <c r="I57" s="103"/>
      <c r="J57" s="102"/>
      <c r="K57" s="102"/>
      <c r="L57" s="103"/>
      <c r="M57" s="102"/>
      <c r="N57" s="102"/>
      <c r="O57" s="103"/>
      <c r="P57" s="102"/>
      <c r="Q57" s="103"/>
      <c r="R57" s="102"/>
      <c r="S57" s="102"/>
      <c r="T57" s="103"/>
      <c r="U57" s="102"/>
      <c r="V57" s="103"/>
      <c r="W57" s="102"/>
      <c r="X57" s="102"/>
      <c r="Y57" s="103"/>
      <c r="Z57" s="102"/>
      <c r="AA57" s="104"/>
      <c r="AB57" s="104"/>
      <c r="AC57" s="105"/>
    </row>
    <row r="58" spans="1:30" x14ac:dyDescent="0.25">
      <c r="A58" s="46" t="s">
        <v>209</v>
      </c>
      <c r="B58" s="90">
        <v>118100</v>
      </c>
      <c r="C58" s="91">
        <v>0.5</v>
      </c>
      <c r="D58" s="85">
        <f t="shared" si="35"/>
        <v>59050</v>
      </c>
      <c r="E58" s="107">
        <v>0.5</v>
      </c>
      <c r="F58" s="109">
        <f t="shared" si="36"/>
        <v>59050</v>
      </c>
      <c r="G58" s="110">
        <f t="shared" si="37"/>
        <v>1</v>
      </c>
      <c r="H58" s="109">
        <f t="shared" si="38"/>
        <v>0</v>
      </c>
      <c r="I58" s="103"/>
      <c r="J58" s="102"/>
      <c r="K58" s="102"/>
      <c r="L58" s="103"/>
      <c r="M58" s="102"/>
      <c r="N58" s="102"/>
      <c r="O58" s="103"/>
      <c r="P58" s="102"/>
      <c r="Q58" s="103"/>
      <c r="R58" s="102"/>
      <c r="S58" s="102"/>
      <c r="T58" s="103"/>
      <c r="U58" s="102"/>
      <c r="V58" s="103"/>
      <c r="W58" s="102"/>
      <c r="X58" s="102"/>
      <c r="Y58" s="103"/>
      <c r="Z58" s="102"/>
      <c r="AA58" s="104"/>
      <c r="AB58" s="104"/>
      <c r="AC58" s="105"/>
    </row>
    <row r="59" spans="1:30" x14ac:dyDescent="0.25">
      <c r="A59" s="46" t="s">
        <v>210</v>
      </c>
      <c r="B59" s="90">
        <v>256000</v>
      </c>
      <c r="C59" s="91">
        <v>0.5</v>
      </c>
      <c r="D59" s="85">
        <f t="shared" si="35"/>
        <v>128000</v>
      </c>
      <c r="E59" s="107">
        <v>0.5</v>
      </c>
      <c r="F59" s="109">
        <f t="shared" si="36"/>
        <v>128000</v>
      </c>
      <c r="G59" s="110">
        <f t="shared" si="37"/>
        <v>1</v>
      </c>
      <c r="H59" s="109">
        <f t="shared" si="38"/>
        <v>0</v>
      </c>
      <c r="I59" s="103"/>
      <c r="J59" s="102"/>
      <c r="K59" s="102"/>
      <c r="L59" s="103"/>
      <c r="M59" s="102"/>
      <c r="N59" s="102"/>
      <c r="O59" s="103"/>
      <c r="P59" s="102"/>
      <c r="Q59" s="103"/>
      <c r="R59" s="102"/>
      <c r="S59" s="102"/>
      <c r="T59" s="103"/>
      <c r="U59" s="102"/>
      <c r="V59" s="103"/>
      <c r="W59" s="102"/>
      <c r="X59" s="102"/>
      <c r="Y59" s="103"/>
      <c r="Z59" s="102"/>
      <c r="AA59" s="104"/>
      <c r="AB59" s="104"/>
      <c r="AC59" s="105"/>
    </row>
    <row r="60" spans="1:30" x14ac:dyDescent="0.25">
      <c r="A60" s="46" t="s">
        <v>207</v>
      </c>
      <c r="B60" s="90"/>
      <c r="C60" s="91">
        <v>0.5</v>
      </c>
      <c r="D60" s="85">
        <f t="shared" si="35"/>
        <v>0</v>
      </c>
      <c r="E60" s="107">
        <v>0.5</v>
      </c>
      <c r="F60" s="109">
        <f t="shared" si="36"/>
        <v>0</v>
      </c>
      <c r="G60" s="110">
        <f t="shared" si="37"/>
        <v>1</v>
      </c>
      <c r="H60" s="109">
        <f t="shared" si="38"/>
        <v>0</v>
      </c>
      <c r="I60" s="103"/>
      <c r="J60" s="102"/>
      <c r="K60" s="102"/>
      <c r="L60" s="103"/>
      <c r="M60" s="102"/>
      <c r="N60" s="102"/>
      <c r="O60" s="103"/>
      <c r="P60" s="102"/>
      <c r="Q60" s="103"/>
      <c r="R60" s="102"/>
      <c r="S60" s="102"/>
      <c r="T60" s="103"/>
      <c r="U60" s="102"/>
      <c r="V60" s="103"/>
      <c r="W60" s="102"/>
      <c r="X60" s="102"/>
      <c r="Y60" s="103"/>
      <c r="Z60" s="102"/>
      <c r="AA60" s="104"/>
      <c r="AB60" s="104"/>
      <c r="AC60" s="105"/>
    </row>
    <row r="61" spans="1:30" x14ac:dyDescent="0.25">
      <c r="A61" s="46" t="s">
        <v>208</v>
      </c>
      <c r="B61" s="90"/>
      <c r="C61" s="91">
        <v>0.5</v>
      </c>
      <c r="D61" s="85">
        <f t="shared" si="35"/>
        <v>0</v>
      </c>
      <c r="E61" s="107">
        <v>0.5</v>
      </c>
      <c r="F61" s="109">
        <f t="shared" si="36"/>
        <v>0</v>
      </c>
      <c r="G61" s="110">
        <f t="shared" si="37"/>
        <v>1</v>
      </c>
      <c r="H61" s="109">
        <f t="shared" si="38"/>
        <v>0</v>
      </c>
      <c r="I61" s="103"/>
      <c r="J61" s="102"/>
      <c r="K61" s="102"/>
      <c r="L61" s="103"/>
      <c r="M61" s="102"/>
      <c r="N61" s="102"/>
      <c r="O61" s="103"/>
      <c r="P61" s="102"/>
      <c r="Q61" s="103"/>
      <c r="R61" s="102"/>
      <c r="S61" s="102"/>
      <c r="T61" s="103"/>
      <c r="U61" s="102"/>
      <c r="V61" s="103"/>
      <c r="W61" s="102"/>
      <c r="X61" s="102"/>
      <c r="Y61" s="103"/>
      <c r="Z61" s="102"/>
      <c r="AA61" s="104"/>
      <c r="AB61" s="104"/>
      <c r="AC61" s="105"/>
    </row>
    <row r="62" spans="1:30" x14ac:dyDescent="0.25">
      <c r="A62" s="46" t="s">
        <v>70</v>
      </c>
      <c r="B62" s="90"/>
      <c r="C62" s="91">
        <v>0.5</v>
      </c>
      <c r="D62" s="85">
        <f t="shared" si="35"/>
        <v>0</v>
      </c>
      <c r="E62" s="107">
        <v>0.5</v>
      </c>
      <c r="F62" s="109">
        <f t="shared" si="36"/>
        <v>0</v>
      </c>
      <c r="G62" s="110">
        <f t="shared" si="37"/>
        <v>1</v>
      </c>
      <c r="H62" s="109">
        <f t="shared" si="38"/>
        <v>0</v>
      </c>
      <c r="I62" s="103"/>
      <c r="J62" s="102"/>
      <c r="K62" s="102"/>
      <c r="L62" s="103"/>
      <c r="M62" s="102"/>
      <c r="N62" s="102"/>
      <c r="O62" s="103"/>
      <c r="P62" s="102"/>
      <c r="Q62" s="103"/>
      <c r="R62" s="102"/>
      <c r="S62" s="102"/>
      <c r="T62" s="103"/>
      <c r="U62" s="102"/>
      <c r="V62" s="103"/>
      <c r="W62" s="102"/>
      <c r="X62" s="102"/>
      <c r="Y62" s="103"/>
      <c r="Z62" s="102"/>
      <c r="AA62" s="104"/>
      <c r="AB62" s="104"/>
      <c r="AC62" s="105"/>
    </row>
    <row r="63" spans="1:30" x14ac:dyDescent="0.25">
      <c r="A63" s="115" t="s">
        <v>203</v>
      </c>
      <c r="B63" s="111">
        <f>SUM(B55:B62)</f>
        <v>10371828</v>
      </c>
      <c r="C63" s="91"/>
      <c r="D63" s="93">
        <f>SUM(D55:D62)</f>
        <v>5185914</v>
      </c>
      <c r="E63" s="107"/>
      <c r="F63" s="112">
        <f>SUM(F55:F62)</f>
        <v>5185914</v>
      </c>
      <c r="G63" s="110">
        <f t="shared" si="37"/>
        <v>0</v>
      </c>
      <c r="H63" s="109">
        <f t="shared" si="38"/>
        <v>0</v>
      </c>
      <c r="I63" s="103"/>
      <c r="J63" s="102"/>
      <c r="K63" s="102"/>
      <c r="L63" s="103"/>
      <c r="M63" s="102"/>
      <c r="N63" s="102"/>
      <c r="O63" s="103"/>
      <c r="P63" s="102"/>
      <c r="Q63" s="103"/>
      <c r="R63" s="102"/>
      <c r="S63" s="102"/>
      <c r="T63" s="103"/>
      <c r="U63" s="102"/>
      <c r="V63" s="103"/>
      <c r="W63" s="102"/>
      <c r="X63" s="102"/>
      <c r="Y63" s="103"/>
      <c r="Z63" s="102"/>
      <c r="AA63" s="104"/>
      <c r="AB63" s="104"/>
      <c r="AC63" s="105"/>
    </row>
    <row r="65" spans="1:5" x14ac:dyDescent="0.25">
      <c r="A65" s="116" t="s">
        <v>211</v>
      </c>
      <c r="B65" s="117">
        <f>+B12+B51+B63</f>
        <v>53512239.592</v>
      </c>
    </row>
    <row r="67" spans="1:5" x14ac:dyDescent="0.25">
      <c r="A67" s="116" t="s">
        <v>327</v>
      </c>
    </row>
    <row r="68" spans="1:5" x14ac:dyDescent="0.25">
      <c r="A68" s="51" t="s">
        <v>10</v>
      </c>
      <c r="B68" s="52">
        <f>+D12+D51</f>
        <v>5502361.4488000004</v>
      </c>
    </row>
    <row r="69" spans="1:5" x14ac:dyDescent="0.25">
      <c r="A69" s="51" t="s">
        <v>228</v>
      </c>
      <c r="B69" s="52">
        <f>+K12+K51</f>
        <v>10932304.6928</v>
      </c>
    </row>
    <row r="70" spans="1:5" x14ac:dyDescent="0.25">
      <c r="A70" s="51" t="s">
        <v>322</v>
      </c>
      <c r="B70" s="52">
        <f>+N12+N51</f>
        <v>14930063.43568</v>
      </c>
    </row>
    <row r="71" spans="1:5" x14ac:dyDescent="0.25">
      <c r="A71" s="51" t="s">
        <v>323</v>
      </c>
      <c r="B71" s="52">
        <f>+P12+P51</f>
        <v>611319.58135999995</v>
      </c>
    </row>
    <row r="72" spans="1:5" x14ac:dyDescent="0.25">
      <c r="A72" s="51" t="s">
        <v>324</v>
      </c>
      <c r="B72" s="52">
        <f>+R12+R51</f>
        <v>2241419.3739999998</v>
      </c>
    </row>
    <row r="73" spans="1:5" x14ac:dyDescent="0.25">
      <c r="A73" s="51" t="s">
        <v>325</v>
      </c>
      <c r="B73" s="52">
        <f>+X12+AA12+X51+AA51</f>
        <v>8922943.0593599994</v>
      </c>
    </row>
    <row r="74" spans="1:5" x14ac:dyDescent="0.25">
      <c r="A74" s="51" t="s">
        <v>326</v>
      </c>
      <c r="B74" s="52">
        <f>+B63</f>
        <v>10371828</v>
      </c>
    </row>
    <row r="75" spans="1:5" x14ac:dyDescent="0.25">
      <c r="A75" s="116" t="s">
        <v>211</v>
      </c>
      <c r="B75" s="117">
        <f>SUM(B68:B74)</f>
        <v>53512239.592</v>
      </c>
    </row>
    <row r="76" spans="1:5" hidden="1" x14ac:dyDescent="0.25">
      <c r="A76" s="113" t="s">
        <v>196</v>
      </c>
      <c r="B76" s="114">
        <f>+B65-B75</f>
        <v>0</v>
      </c>
    </row>
    <row r="78" spans="1:5" x14ac:dyDescent="0.25">
      <c r="B78" s="162"/>
    </row>
    <row r="79" spans="1:5" x14ac:dyDescent="0.25">
      <c r="B79" s="162"/>
    </row>
    <row r="80" spans="1:5" x14ac:dyDescent="0.25">
      <c r="E80" s="162"/>
    </row>
  </sheetData>
  <mergeCells count="12">
    <mergeCell ref="A1:W1"/>
    <mergeCell ref="A2:B2"/>
    <mergeCell ref="C2:D2"/>
    <mergeCell ref="E2:K2"/>
    <mergeCell ref="L2:S2"/>
    <mergeCell ref="T2:AA2"/>
    <mergeCell ref="AB2:AC2"/>
    <mergeCell ref="E3:F3"/>
    <mergeCell ref="G3:H3"/>
    <mergeCell ref="I3:J3"/>
    <mergeCell ref="L3:M3"/>
    <mergeCell ref="O3:P3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B9FF44-B7C7-4DBC-815E-CBE7B3A7F532}">
  <dimension ref="A1:AI80"/>
  <sheetViews>
    <sheetView zoomScale="102" zoomScaleNormal="102" workbookViewId="0">
      <selection sqref="A1:XFD1048576"/>
    </sheetView>
  </sheetViews>
  <sheetFormatPr baseColWidth="10" defaultRowHeight="15" x14ac:dyDescent="0.25"/>
  <cols>
    <col min="1" max="1" width="44.42578125" customWidth="1"/>
    <col min="2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4" width="11.28515625" customWidth="1"/>
    <col min="15" max="15" width="13.42578125" customWidth="1"/>
    <col min="16" max="16" width="11" customWidth="1"/>
    <col min="17" max="18" width="14.7109375" customWidth="1"/>
    <col min="19" max="19" width="9.85546875" customWidth="1"/>
    <col min="20" max="20" width="10.85546875" customWidth="1"/>
    <col min="21" max="21" width="17.7109375" customWidth="1"/>
    <col min="22" max="22" width="10.7109375" customWidth="1"/>
    <col min="23" max="23" width="15.5703125" customWidth="1"/>
    <col min="24" max="24" width="14.140625" customWidth="1"/>
    <col min="26" max="26" width="13.7109375" customWidth="1"/>
    <col min="28" max="28" width="15.42578125" customWidth="1"/>
    <col min="29" max="29" width="12.85546875" customWidth="1"/>
    <col min="30" max="30" width="12.28515625" customWidth="1"/>
    <col min="31" max="31" width="15.140625" customWidth="1"/>
  </cols>
  <sheetData>
    <row r="1" spans="1:35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340"/>
      <c r="Y1" s="340"/>
      <c r="Z1" s="340"/>
      <c r="AA1" s="340"/>
      <c r="AB1" s="96"/>
      <c r="AC1" s="96"/>
      <c r="AD1" s="96"/>
      <c r="AE1" s="96"/>
    </row>
    <row r="2" spans="1:35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6"/>
      <c r="L2" s="336"/>
      <c r="M2" s="336"/>
      <c r="N2" s="336"/>
      <c r="O2" s="332"/>
      <c r="P2" s="337" t="s">
        <v>174</v>
      </c>
      <c r="Q2" s="338"/>
      <c r="R2" s="338"/>
      <c r="S2" s="338"/>
      <c r="T2" s="338"/>
      <c r="U2" s="338"/>
      <c r="V2" s="338"/>
      <c r="W2" s="339"/>
      <c r="X2" s="335" t="s">
        <v>195</v>
      </c>
      <c r="Y2" s="335"/>
      <c r="Z2" s="335"/>
      <c r="AA2" s="335"/>
      <c r="AB2" s="335"/>
      <c r="AC2" s="335"/>
      <c r="AD2" s="335"/>
      <c r="AE2" s="335"/>
      <c r="AF2" s="335" t="s">
        <v>196</v>
      </c>
      <c r="AG2" s="335"/>
    </row>
    <row r="3" spans="1:35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331" t="s">
        <v>95</v>
      </c>
      <c r="L3" s="336"/>
      <c r="M3" s="345" t="s">
        <v>96</v>
      </c>
      <c r="N3" s="345"/>
      <c r="O3" s="325" t="s">
        <v>341</v>
      </c>
      <c r="P3" s="333" t="s">
        <v>97</v>
      </c>
      <c r="Q3" s="334"/>
      <c r="R3" s="126" t="s">
        <v>97</v>
      </c>
      <c r="S3" s="333" t="s">
        <v>98</v>
      </c>
      <c r="T3" s="334"/>
      <c r="U3" s="72" t="s">
        <v>98</v>
      </c>
      <c r="V3" s="72"/>
      <c r="W3" s="69" t="s">
        <v>342</v>
      </c>
      <c r="X3" s="72" t="s">
        <v>99</v>
      </c>
      <c r="Y3" s="72"/>
      <c r="Z3" s="72" t="s">
        <v>100</v>
      </c>
      <c r="AA3" s="72"/>
      <c r="AB3" s="69" t="s">
        <v>343</v>
      </c>
      <c r="AC3" s="72" t="s">
        <v>344</v>
      </c>
      <c r="AD3" s="72"/>
      <c r="AE3" s="69" t="s">
        <v>344</v>
      </c>
      <c r="AF3" s="97"/>
      <c r="AG3" s="97"/>
    </row>
    <row r="4" spans="1:35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121" t="s">
        <v>340</v>
      </c>
      <c r="L4" s="121" t="s">
        <v>176</v>
      </c>
      <c r="M4" s="120" t="s">
        <v>345</v>
      </c>
      <c r="N4" s="121" t="s">
        <v>176</v>
      </c>
      <c r="O4" s="71" t="s">
        <v>223</v>
      </c>
      <c r="P4" s="75" t="s">
        <v>161</v>
      </c>
      <c r="Q4" s="75" t="s">
        <v>176</v>
      </c>
      <c r="R4" s="71" t="s">
        <v>300</v>
      </c>
      <c r="S4" s="75" t="s">
        <v>162</v>
      </c>
      <c r="T4" s="75" t="s">
        <v>176</v>
      </c>
      <c r="U4" s="76" t="s">
        <v>163</v>
      </c>
      <c r="V4" s="76" t="s">
        <v>176</v>
      </c>
      <c r="W4" s="71" t="s">
        <v>171</v>
      </c>
      <c r="X4" s="77" t="s">
        <v>164</v>
      </c>
      <c r="Y4" s="77" t="s">
        <v>176</v>
      </c>
      <c r="Z4" s="78" t="s">
        <v>165</v>
      </c>
      <c r="AA4" s="78" t="s">
        <v>176</v>
      </c>
      <c r="AB4" s="71" t="s">
        <v>301</v>
      </c>
      <c r="AC4" s="78" t="s">
        <v>194</v>
      </c>
      <c r="AD4" s="78" t="s">
        <v>176</v>
      </c>
      <c r="AE4" s="71" t="s">
        <v>172</v>
      </c>
      <c r="AF4" s="98" t="s">
        <v>178</v>
      </c>
      <c r="AG4" s="98" t="s">
        <v>179</v>
      </c>
    </row>
    <row r="5" spans="1:35" x14ac:dyDescent="0.25">
      <c r="A5" s="46" t="s">
        <v>67</v>
      </c>
      <c r="B5" s="90">
        <f>+' NOMINAS ENE-DIC'!I234+' NOMINAS ENE-DIC'!I244</f>
        <v>5020721.568</v>
      </c>
      <c r="C5" s="91">
        <f>+'%'!B4</f>
        <v>0.35</v>
      </c>
      <c r="D5" s="93">
        <f t="shared" ref="D5:D11" si="0">+B5*C5</f>
        <v>1757252.5488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122">
        <v>0</v>
      </c>
      <c r="L5" s="123">
        <f t="shared" ref="L5:L11" si="4">+B5*K5</f>
        <v>0</v>
      </c>
      <c r="M5" s="122">
        <v>0</v>
      </c>
      <c r="N5" s="123">
        <f>+B5*M5</f>
        <v>0</v>
      </c>
      <c r="O5" s="93">
        <f>+N5+L5+J5+H5+F5</f>
        <v>0</v>
      </c>
      <c r="P5" s="86">
        <f>+'%'!F4</f>
        <v>0.01</v>
      </c>
      <c r="Q5" s="87">
        <f t="shared" ref="Q5:Q11" si="5">+P5*B5</f>
        <v>50207.215680000001</v>
      </c>
      <c r="R5" s="93">
        <f>+Q5</f>
        <v>50207.215680000001</v>
      </c>
      <c r="S5" s="86">
        <f>+'%'!G4</f>
        <v>0.02</v>
      </c>
      <c r="T5" s="87">
        <f t="shared" ref="T5:T11" si="6">+S5*B5</f>
        <v>100414.43136</v>
      </c>
      <c r="U5" s="86">
        <f>+'%'!H4</f>
        <v>0.05</v>
      </c>
      <c r="V5" s="87">
        <f t="shared" ref="V5:V11" si="7">+U5*B5</f>
        <v>251036.0784</v>
      </c>
      <c r="W5" s="93">
        <f>+T5+V5</f>
        <v>351450.50975999999</v>
      </c>
      <c r="X5" s="88">
        <f>+'%'!I4</f>
        <v>0.2</v>
      </c>
      <c r="Y5" s="89">
        <f>+X5*B5</f>
        <v>1004144.3136</v>
      </c>
      <c r="Z5" s="88">
        <f>+'%'!J4</f>
        <v>0.27</v>
      </c>
      <c r="AA5" s="89">
        <f t="shared" ref="AA5:AA11" si="8">+Z5*B5</f>
        <v>1355594.82336</v>
      </c>
      <c r="AB5" s="93">
        <f>+Y5+AA5</f>
        <v>2359739.1369599998</v>
      </c>
      <c r="AC5" s="88">
        <f>+'%'!K4</f>
        <v>0.1</v>
      </c>
      <c r="AD5" s="89">
        <f t="shared" ref="AD5:AD11" si="9">+AC5*B5</f>
        <v>502072.1568</v>
      </c>
      <c r="AE5" s="93">
        <f>+AD5</f>
        <v>502072.1568</v>
      </c>
      <c r="AF5" s="81">
        <f t="shared" ref="AF5:AF12" si="10">+(D5+O5+R5+W5+AB5+AE5)-B5</f>
        <v>0</v>
      </c>
      <c r="AG5" s="82">
        <f>+C5+E5+G5+I5+K5+M5+P5+S5+U5+X5+Z5+AC5</f>
        <v>1</v>
      </c>
      <c r="AI5" s="162"/>
    </row>
    <row r="6" spans="1:35" x14ac:dyDescent="0.25">
      <c r="A6" s="46" t="s">
        <v>74</v>
      </c>
      <c r="B6" s="90">
        <f>+' NOMINAS ENE-DIC'!I236+' NOMINAS ENE-DIC'!I246</f>
        <v>3986912.2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1594764.8800000001</v>
      </c>
      <c r="G6" s="122">
        <f>+'%'!D5</f>
        <v>0.6</v>
      </c>
      <c r="H6" s="123">
        <f t="shared" si="2"/>
        <v>2392147.3199999998</v>
      </c>
      <c r="I6" s="122">
        <f>+'%'!E5</f>
        <v>0</v>
      </c>
      <c r="J6" s="123">
        <f t="shared" si="3"/>
        <v>0</v>
      </c>
      <c r="K6" s="122">
        <f>+'%'!G5</f>
        <v>0</v>
      </c>
      <c r="L6" s="123">
        <f t="shared" si="4"/>
        <v>0</v>
      </c>
      <c r="M6" s="122">
        <f>+'%'!I5</f>
        <v>0</v>
      </c>
      <c r="N6" s="123">
        <f t="shared" ref="N6:N11" si="11">+B6*M6</f>
        <v>0</v>
      </c>
      <c r="O6" s="93">
        <f t="shared" ref="O6:O11" si="12">+N6+L6+J6+H6+F6</f>
        <v>3986912.2</v>
      </c>
      <c r="P6" s="86">
        <f>+'%'!F5</f>
        <v>0</v>
      </c>
      <c r="Q6" s="87">
        <f t="shared" si="5"/>
        <v>0</v>
      </c>
      <c r="R6" s="93">
        <f t="shared" ref="R6:R11" si="13">+Q6</f>
        <v>0</v>
      </c>
      <c r="S6" s="86">
        <f>+'%'!G5</f>
        <v>0</v>
      </c>
      <c r="T6" s="87">
        <f t="shared" si="6"/>
        <v>0</v>
      </c>
      <c r="U6" s="86">
        <f>+'%'!H5</f>
        <v>0</v>
      </c>
      <c r="V6" s="87">
        <f t="shared" si="7"/>
        <v>0</v>
      </c>
      <c r="W6" s="93">
        <f t="shared" ref="W6:W11" si="14">+T6+V6</f>
        <v>0</v>
      </c>
      <c r="X6" s="88">
        <f>+'%'!I5</f>
        <v>0</v>
      </c>
      <c r="Y6" s="89">
        <f>+X6*B6</f>
        <v>0</v>
      </c>
      <c r="Z6" s="88">
        <f>+'%'!J5</f>
        <v>0</v>
      </c>
      <c r="AA6" s="89">
        <f t="shared" si="8"/>
        <v>0</v>
      </c>
      <c r="AB6" s="93">
        <f t="shared" ref="AB6:AB11" si="15">+Y6+AA6</f>
        <v>0</v>
      </c>
      <c r="AC6" s="88">
        <f>+'%'!K5</f>
        <v>0</v>
      </c>
      <c r="AD6" s="89">
        <f t="shared" si="9"/>
        <v>0</v>
      </c>
      <c r="AE6" s="93">
        <f t="shared" ref="AE6:AE11" si="16">+AD6</f>
        <v>0</v>
      </c>
      <c r="AF6" s="81">
        <f t="shared" si="10"/>
        <v>0</v>
      </c>
      <c r="AG6" s="82">
        <f t="shared" ref="AG6:AG11" si="17">+C6+E6+G6+I6+K6+M6+P6+S6+U6+X6+Z6+AC6</f>
        <v>1</v>
      </c>
      <c r="AI6" s="162"/>
    </row>
    <row r="7" spans="1:35" x14ac:dyDescent="0.25">
      <c r="A7" s="46" t="s">
        <v>109</v>
      </c>
      <c r="B7" s="90">
        <f>+' NOMINAS ENE-DIC'!I233+' NOMINAS ENE-DIC'!I243</f>
        <v>3986909.2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996727.3</v>
      </c>
      <c r="G7" s="122">
        <f>+'%'!D7</f>
        <v>0.45</v>
      </c>
      <c r="H7" s="123">
        <f t="shared" si="2"/>
        <v>1794109.1400000001</v>
      </c>
      <c r="I7" s="122">
        <f>+'%'!E7</f>
        <v>0.2</v>
      </c>
      <c r="J7" s="123">
        <f t="shared" si="3"/>
        <v>797381.84000000008</v>
      </c>
      <c r="K7" s="122">
        <v>0.05</v>
      </c>
      <c r="L7" s="123">
        <f>+B7*K7</f>
        <v>199345.46000000002</v>
      </c>
      <c r="M7" s="122">
        <v>0.05</v>
      </c>
      <c r="N7" s="123">
        <f t="shared" si="11"/>
        <v>199345.46000000002</v>
      </c>
      <c r="O7" s="93">
        <f t="shared" si="12"/>
        <v>3986909.2</v>
      </c>
      <c r="P7" s="86">
        <f>+'%'!F7</f>
        <v>0</v>
      </c>
      <c r="Q7" s="87">
        <f t="shared" si="5"/>
        <v>0</v>
      </c>
      <c r="R7" s="93">
        <f t="shared" si="13"/>
        <v>0</v>
      </c>
      <c r="S7" s="86">
        <f>+'%'!G7</f>
        <v>0</v>
      </c>
      <c r="T7" s="87">
        <f t="shared" si="6"/>
        <v>0</v>
      </c>
      <c r="U7" s="86">
        <v>0</v>
      </c>
      <c r="V7" s="87">
        <f t="shared" si="7"/>
        <v>0</v>
      </c>
      <c r="W7" s="93">
        <f t="shared" si="14"/>
        <v>0</v>
      </c>
      <c r="X7" s="88">
        <f>+'%'!I7</f>
        <v>0</v>
      </c>
      <c r="Y7" s="89">
        <v>0</v>
      </c>
      <c r="Z7" s="88">
        <v>0</v>
      </c>
      <c r="AA7" s="89">
        <f t="shared" si="8"/>
        <v>0</v>
      </c>
      <c r="AB7" s="93">
        <f t="shared" si="15"/>
        <v>0</v>
      </c>
      <c r="AC7" s="88">
        <f>+'%'!K7</f>
        <v>0</v>
      </c>
      <c r="AD7" s="89">
        <f t="shared" si="9"/>
        <v>0</v>
      </c>
      <c r="AE7" s="93">
        <f t="shared" si="16"/>
        <v>0</v>
      </c>
      <c r="AF7" s="81">
        <f t="shared" si="10"/>
        <v>0</v>
      </c>
      <c r="AG7" s="82">
        <f t="shared" si="17"/>
        <v>1</v>
      </c>
      <c r="AI7" s="162"/>
    </row>
    <row r="8" spans="1:35" x14ac:dyDescent="0.25">
      <c r="A8" s="46" t="s">
        <v>266</v>
      </c>
      <c r="B8" s="90">
        <f>+' NOMINAS ENE-DIC'!I235+' NOMINAS ENE-DIC'!I245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122">
        <v>0</v>
      </c>
      <c r="L8" s="123">
        <f t="shared" si="4"/>
        <v>0</v>
      </c>
      <c r="M8" s="122">
        <v>0</v>
      </c>
      <c r="N8" s="123">
        <f t="shared" si="11"/>
        <v>0</v>
      </c>
      <c r="O8" s="93">
        <f t="shared" si="12"/>
        <v>0</v>
      </c>
      <c r="P8" s="86">
        <v>0</v>
      </c>
      <c r="Q8" s="87">
        <f t="shared" si="5"/>
        <v>0</v>
      </c>
      <c r="R8" s="93">
        <f t="shared" si="13"/>
        <v>0</v>
      </c>
      <c r="S8" s="86">
        <v>0</v>
      </c>
      <c r="T8" s="87">
        <f t="shared" si="6"/>
        <v>0</v>
      </c>
      <c r="U8" s="86">
        <v>0</v>
      </c>
      <c r="V8" s="87">
        <f t="shared" si="7"/>
        <v>0</v>
      </c>
      <c r="W8" s="93">
        <f t="shared" si="14"/>
        <v>0</v>
      </c>
      <c r="X8" s="88">
        <v>0</v>
      </c>
      <c r="Y8" s="89">
        <v>0</v>
      </c>
      <c r="Z8" s="88">
        <v>0</v>
      </c>
      <c r="AA8" s="89">
        <f t="shared" si="8"/>
        <v>0</v>
      </c>
      <c r="AB8" s="93">
        <f t="shared" si="15"/>
        <v>0</v>
      </c>
      <c r="AC8" s="88">
        <v>0</v>
      </c>
      <c r="AD8" s="89">
        <f t="shared" si="9"/>
        <v>0</v>
      </c>
      <c r="AE8" s="93">
        <f t="shared" si="16"/>
        <v>0</v>
      </c>
      <c r="AF8" s="81">
        <f t="shared" si="10"/>
        <v>0</v>
      </c>
      <c r="AG8" s="82">
        <f t="shared" si="17"/>
        <v>1</v>
      </c>
    </row>
    <row r="9" spans="1:35" x14ac:dyDescent="0.25">
      <c r="A9" s="46" t="s">
        <v>184</v>
      </c>
      <c r="B9" s="90">
        <f>+' NOMINAS ENE-DIC'!D252</f>
        <v>4664000</v>
      </c>
      <c r="C9" s="91">
        <f>+'%'!B8</f>
        <v>0.2</v>
      </c>
      <c r="D9" s="93">
        <f t="shared" si="0"/>
        <v>932800</v>
      </c>
      <c r="E9" s="122">
        <f>+'%'!C8</f>
        <v>0.1</v>
      </c>
      <c r="F9" s="123">
        <f t="shared" si="1"/>
        <v>466400</v>
      </c>
      <c r="G9" s="122">
        <f>+'%'!D8</f>
        <v>0.3</v>
      </c>
      <c r="H9" s="123">
        <f t="shared" si="2"/>
        <v>1399200</v>
      </c>
      <c r="I9" s="122">
        <f>+'%'!E8</f>
        <v>0.1</v>
      </c>
      <c r="J9" s="123">
        <f t="shared" si="3"/>
        <v>466400</v>
      </c>
      <c r="K9" s="122">
        <f>+'%'!G8</f>
        <v>0.05</v>
      </c>
      <c r="L9" s="123">
        <f t="shared" si="4"/>
        <v>233200</v>
      </c>
      <c r="M9" s="122">
        <v>0.02</v>
      </c>
      <c r="N9" s="123">
        <f t="shared" si="11"/>
        <v>93280</v>
      </c>
      <c r="O9" s="93">
        <f t="shared" si="12"/>
        <v>2658480</v>
      </c>
      <c r="P9" s="86">
        <f>+'%'!F8</f>
        <v>0</v>
      </c>
      <c r="Q9" s="87">
        <f t="shared" si="5"/>
        <v>0</v>
      </c>
      <c r="R9" s="93">
        <f t="shared" si="13"/>
        <v>0</v>
      </c>
      <c r="S9" s="86">
        <v>0.02</v>
      </c>
      <c r="T9" s="87">
        <f t="shared" si="6"/>
        <v>93280</v>
      </c>
      <c r="U9" s="86">
        <f>+'%'!H8</f>
        <v>0.05</v>
      </c>
      <c r="V9" s="87">
        <f t="shared" si="7"/>
        <v>233200</v>
      </c>
      <c r="W9" s="93">
        <f t="shared" si="14"/>
        <v>326480</v>
      </c>
      <c r="X9" s="88">
        <f>+'%'!I8</f>
        <v>0</v>
      </c>
      <c r="Y9" s="89">
        <v>0</v>
      </c>
      <c r="Z9" s="88">
        <v>0.03</v>
      </c>
      <c r="AA9" s="89">
        <f t="shared" si="8"/>
        <v>139920</v>
      </c>
      <c r="AB9" s="93">
        <f t="shared" si="15"/>
        <v>139920</v>
      </c>
      <c r="AC9" s="88">
        <v>0.13</v>
      </c>
      <c r="AD9" s="89">
        <f t="shared" si="9"/>
        <v>606320</v>
      </c>
      <c r="AE9" s="93">
        <f t="shared" si="16"/>
        <v>606320</v>
      </c>
      <c r="AF9" s="81">
        <f t="shared" si="10"/>
        <v>0</v>
      </c>
      <c r="AG9" s="82">
        <f t="shared" si="17"/>
        <v>1.0000000000000002</v>
      </c>
      <c r="AI9" s="162"/>
    </row>
    <row r="10" spans="1:35" x14ac:dyDescent="0.25">
      <c r="A10" s="46" t="s">
        <v>51</v>
      </c>
      <c r="B10" s="90">
        <f>+' NOMINAS ENE-DIC'!D253</f>
        <v>4000000</v>
      </c>
      <c r="C10" s="91">
        <f>+'%'!B8</f>
        <v>0.2</v>
      </c>
      <c r="D10" s="93">
        <f t="shared" si="0"/>
        <v>800000</v>
      </c>
      <c r="E10" s="122">
        <f>+'%'!C8</f>
        <v>0.1</v>
      </c>
      <c r="F10" s="123">
        <f t="shared" si="1"/>
        <v>400000</v>
      </c>
      <c r="G10" s="122">
        <f>+'%'!D8</f>
        <v>0.3</v>
      </c>
      <c r="H10" s="123">
        <f t="shared" si="2"/>
        <v>1200000</v>
      </c>
      <c r="I10" s="122">
        <f>+'%'!E8</f>
        <v>0.1</v>
      </c>
      <c r="J10" s="123">
        <f t="shared" si="3"/>
        <v>400000</v>
      </c>
      <c r="K10" s="122">
        <f>+'%'!G8</f>
        <v>0.05</v>
      </c>
      <c r="L10" s="123">
        <f t="shared" si="4"/>
        <v>200000</v>
      </c>
      <c r="M10" s="122">
        <v>0.02</v>
      </c>
      <c r="N10" s="123">
        <f t="shared" si="11"/>
        <v>80000</v>
      </c>
      <c r="O10" s="93">
        <f t="shared" si="12"/>
        <v>2280000</v>
      </c>
      <c r="P10" s="86">
        <f>+'%'!F8</f>
        <v>0</v>
      </c>
      <c r="Q10" s="87">
        <f t="shared" si="5"/>
        <v>0</v>
      </c>
      <c r="R10" s="93">
        <f t="shared" si="13"/>
        <v>0</v>
      </c>
      <c r="S10" s="86">
        <v>0.02</v>
      </c>
      <c r="T10" s="87">
        <f t="shared" si="6"/>
        <v>80000</v>
      </c>
      <c r="U10" s="86">
        <f>+'%'!H8</f>
        <v>0.05</v>
      </c>
      <c r="V10" s="87">
        <f t="shared" si="7"/>
        <v>200000</v>
      </c>
      <c r="W10" s="93">
        <f t="shared" si="14"/>
        <v>280000</v>
      </c>
      <c r="X10" s="88">
        <f>+'%'!I8</f>
        <v>0</v>
      </c>
      <c r="Y10" s="89">
        <f>+X10*B10</f>
        <v>0</v>
      </c>
      <c r="Z10" s="88">
        <v>0.03</v>
      </c>
      <c r="AA10" s="89">
        <f t="shared" si="8"/>
        <v>120000</v>
      </c>
      <c r="AB10" s="93">
        <f t="shared" si="15"/>
        <v>120000</v>
      </c>
      <c r="AC10" s="88">
        <v>0.13</v>
      </c>
      <c r="AD10" s="89">
        <f t="shared" si="9"/>
        <v>520000</v>
      </c>
      <c r="AE10" s="93">
        <f t="shared" si="16"/>
        <v>520000</v>
      </c>
      <c r="AF10" s="81">
        <f t="shared" si="10"/>
        <v>0</v>
      </c>
      <c r="AG10" s="82">
        <f t="shared" si="17"/>
        <v>1.0000000000000002</v>
      </c>
      <c r="AI10" s="162"/>
    </row>
    <row r="11" spans="1:35" x14ac:dyDescent="0.25">
      <c r="A11" s="46" t="s">
        <v>185</v>
      </c>
      <c r="B11" s="90">
        <f>+' NOMINAS ENE-DIC'!D251</f>
        <v>3030000</v>
      </c>
      <c r="C11" s="91">
        <f>+'%'!B9</f>
        <v>0.2</v>
      </c>
      <c r="D11" s="93">
        <f t="shared" si="0"/>
        <v>606000</v>
      </c>
      <c r="E11" s="122">
        <f>+'%'!C9</f>
        <v>0.1</v>
      </c>
      <c r="F11" s="123">
        <f t="shared" si="1"/>
        <v>303000</v>
      </c>
      <c r="G11" s="122">
        <f>+'%'!D9</f>
        <v>0.2</v>
      </c>
      <c r="H11" s="123">
        <f t="shared" si="2"/>
        <v>606000</v>
      </c>
      <c r="I11" s="122">
        <f>+'%'!E9</f>
        <v>0.15</v>
      </c>
      <c r="J11" s="123">
        <f t="shared" si="3"/>
        <v>454500</v>
      </c>
      <c r="K11" s="122">
        <f>+'%'!G9</f>
        <v>0.05</v>
      </c>
      <c r="L11" s="123">
        <f t="shared" si="4"/>
        <v>151500</v>
      </c>
      <c r="M11" s="122">
        <v>0.02</v>
      </c>
      <c r="N11" s="123">
        <f t="shared" si="11"/>
        <v>60600</v>
      </c>
      <c r="O11" s="93">
        <f t="shared" si="12"/>
        <v>1575600</v>
      </c>
      <c r="P11" s="86">
        <f>+'%'!F9</f>
        <v>0</v>
      </c>
      <c r="Q11" s="87">
        <f t="shared" si="5"/>
        <v>0</v>
      </c>
      <c r="R11" s="93">
        <f t="shared" si="13"/>
        <v>0</v>
      </c>
      <c r="S11" s="86">
        <v>0.02</v>
      </c>
      <c r="T11" s="87">
        <f t="shared" si="6"/>
        <v>60600</v>
      </c>
      <c r="U11" s="86">
        <f>+'%'!H9</f>
        <v>0.1</v>
      </c>
      <c r="V11" s="87">
        <f t="shared" si="7"/>
        <v>303000</v>
      </c>
      <c r="W11" s="93">
        <f t="shared" si="14"/>
        <v>363600</v>
      </c>
      <c r="X11" s="88">
        <f>+'%'!I9</f>
        <v>0</v>
      </c>
      <c r="Y11" s="89">
        <f>+X11*B11</f>
        <v>0</v>
      </c>
      <c r="Z11" s="88">
        <v>0.13</v>
      </c>
      <c r="AA11" s="89">
        <f t="shared" si="8"/>
        <v>393900</v>
      </c>
      <c r="AB11" s="93">
        <f t="shared" si="15"/>
        <v>393900</v>
      </c>
      <c r="AC11" s="88">
        <v>0.03</v>
      </c>
      <c r="AD11" s="89">
        <f t="shared" si="9"/>
        <v>90900</v>
      </c>
      <c r="AE11" s="93">
        <f t="shared" si="16"/>
        <v>90900</v>
      </c>
      <c r="AF11" s="81">
        <f t="shared" si="10"/>
        <v>0</v>
      </c>
      <c r="AG11" s="82">
        <f t="shared" si="17"/>
        <v>1</v>
      </c>
      <c r="AI11" s="162"/>
    </row>
    <row r="12" spans="1:35" x14ac:dyDescent="0.25">
      <c r="A12" s="46" t="s">
        <v>181</v>
      </c>
      <c r="B12" s="92">
        <f>SUM(B5:B11)</f>
        <v>26853228.167999998</v>
      </c>
      <c r="C12" s="44"/>
      <c r="D12" s="93">
        <f>SUM(D5:D11)</f>
        <v>6260737.7488000002</v>
      </c>
      <c r="E12" s="124"/>
      <c r="F12" s="125">
        <f>SUM(F5:F11)</f>
        <v>3760892.18</v>
      </c>
      <c r="G12" s="124"/>
      <c r="H12" s="125">
        <f>SUM(H5:H11)</f>
        <v>7391456.46</v>
      </c>
      <c r="I12" s="124"/>
      <c r="J12" s="125">
        <f>SUM(J5:J11)</f>
        <v>2118281.84</v>
      </c>
      <c r="K12" s="125"/>
      <c r="L12" s="125">
        <f>SUM(L5:L11)</f>
        <v>784045.46</v>
      </c>
      <c r="M12" s="125"/>
      <c r="N12" s="125">
        <f>SUM(N5:N11)</f>
        <v>433225.46</v>
      </c>
      <c r="O12" s="93">
        <f>SUM(O5:O11)</f>
        <v>14487901.4</v>
      </c>
      <c r="P12" s="44"/>
      <c r="Q12" s="95">
        <f>SUM(Q5:Q11)</f>
        <v>50207.215680000001</v>
      </c>
      <c r="R12" s="93">
        <f t="shared" ref="R12" si="18">+Q12</f>
        <v>50207.215680000001</v>
      </c>
      <c r="S12" s="44"/>
      <c r="T12" s="95">
        <f>SUM(T5:T11)</f>
        <v>334294.43135999999</v>
      </c>
      <c r="U12" s="44"/>
      <c r="V12" s="95">
        <f>SUM(V5:V11)</f>
        <v>987236.0784</v>
      </c>
      <c r="W12" s="93">
        <f>SUM(W5:W11)</f>
        <v>1321530.50976</v>
      </c>
      <c r="X12" s="44"/>
      <c r="Y12" s="94">
        <f>SUM(Y5:Y11)</f>
        <v>1004144.3136</v>
      </c>
      <c r="Z12" s="44"/>
      <c r="AA12" s="94">
        <f>SUM(AA5:AA11)</f>
        <v>2009414.82336</v>
      </c>
      <c r="AB12" s="93">
        <f>SUM(AB5:AB11)</f>
        <v>3013559.1369599998</v>
      </c>
      <c r="AC12" s="79"/>
      <c r="AD12" s="94">
        <f>SUM(AD5:AD11)</f>
        <v>1719292.1568</v>
      </c>
      <c r="AE12" s="93">
        <f>SUM(AE5:AE11)</f>
        <v>1719292.1568</v>
      </c>
      <c r="AF12" s="81">
        <f t="shared" si="10"/>
        <v>0</v>
      </c>
      <c r="AG12" s="82">
        <f>+C12+E12+G12+I12+P12+S12+U12+X12+Z12+AC12</f>
        <v>0</v>
      </c>
    </row>
    <row r="15" spans="1:35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121" t="s">
        <v>340</v>
      </c>
      <c r="L15" s="121" t="s">
        <v>176</v>
      </c>
      <c r="M15" s="120" t="s">
        <v>345</v>
      </c>
      <c r="N15" s="121" t="s">
        <v>176</v>
      </c>
      <c r="O15" s="71" t="s">
        <v>222</v>
      </c>
      <c r="P15" s="75" t="s">
        <v>161</v>
      </c>
      <c r="Q15" s="75" t="s">
        <v>176</v>
      </c>
      <c r="R15" s="71" t="s">
        <v>300</v>
      </c>
      <c r="S15" s="75" t="s">
        <v>162</v>
      </c>
      <c r="T15" s="75" t="s">
        <v>176</v>
      </c>
      <c r="U15" s="76" t="s">
        <v>163</v>
      </c>
      <c r="V15" s="76" t="s">
        <v>176</v>
      </c>
      <c r="W15" s="71" t="s">
        <v>171</v>
      </c>
      <c r="X15" s="77" t="s">
        <v>164</v>
      </c>
      <c r="Y15" s="77" t="s">
        <v>176</v>
      </c>
      <c r="Z15" s="78" t="s">
        <v>165</v>
      </c>
      <c r="AA15" s="78" t="s">
        <v>176</v>
      </c>
      <c r="AB15" s="71" t="s">
        <v>301</v>
      </c>
      <c r="AC15" s="78" t="s">
        <v>194</v>
      </c>
      <c r="AD15" s="78" t="s">
        <v>176</v>
      </c>
      <c r="AE15" s="71" t="s">
        <v>172</v>
      </c>
      <c r="AF15" s="98" t="s">
        <v>178</v>
      </c>
      <c r="AG15" s="98" t="s">
        <v>179</v>
      </c>
      <c r="AH15" s="158" t="s">
        <v>244</v>
      </c>
    </row>
    <row r="16" spans="1:35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122">
        <v>0.1</v>
      </c>
      <c r="L16" s="123">
        <f>+B16*K16</f>
        <v>131136</v>
      </c>
      <c r="M16" s="122">
        <v>0.03</v>
      </c>
      <c r="N16" s="123">
        <f>+B16*M16</f>
        <v>39340.799999999996</v>
      </c>
      <c r="O16" s="93">
        <f t="shared" ref="O16:O50" si="19">+N16+L16+J16+H16+F16</f>
        <v>445862.40000000002</v>
      </c>
      <c r="P16" s="86">
        <v>0.01</v>
      </c>
      <c r="Q16" s="87">
        <f t="shared" ref="Q16:Q50" si="20">+P16*B16</f>
        <v>13113.6</v>
      </c>
      <c r="R16" s="93">
        <f>+Q16</f>
        <v>13113.6</v>
      </c>
      <c r="S16" s="86">
        <v>0.03</v>
      </c>
      <c r="T16" s="87">
        <f t="shared" ref="T16:T50" si="21">+S16*B16</f>
        <v>39340.799999999996</v>
      </c>
      <c r="U16" s="86">
        <v>0.05</v>
      </c>
      <c r="V16" s="87">
        <f t="shared" ref="V16:V50" si="22">+U16*B16</f>
        <v>65568</v>
      </c>
      <c r="W16" s="93">
        <f>+T16+V16</f>
        <v>104908.79999999999</v>
      </c>
      <c r="X16" s="88">
        <v>0.15</v>
      </c>
      <c r="Y16" s="89">
        <f t="shared" ref="Y16:Y47" si="23">+X16*B16</f>
        <v>196704</v>
      </c>
      <c r="Z16" s="88">
        <v>0.32</v>
      </c>
      <c r="AA16" s="89">
        <f t="shared" ref="AA16:AA50" si="24">+Z16*B16</f>
        <v>419635.20000000001</v>
      </c>
      <c r="AB16" s="93">
        <f>+Y16+AA16</f>
        <v>616339.19999999995</v>
      </c>
      <c r="AC16" s="88">
        <v>0</v>
      </c>
      <c r="AD16" s="89">
        <f t="shared" ref="AD16:AD50" si="25">+AC16*B16</f>
        <v>0</v>
      </c>
      <c r="AE16" s="93">
        <f>+AD16</f>
        <v>0</v>
      </c>
      <c r="AF16" s="81">
        <f>+(D16+O16+R16+W16+AB16+AE16)-B16</f>
        <v>0</v>
      </c>
      <c r="AG16" s="82">
        <f t="shared" ref="AG16:AG50" si="26">+C16+E16+G16+I16+K16+M16+P16+S16+U16+X16+Z16+AC16</f>
        <v>1.0000000000000002</v>
      </c>
      <c r="AH16" s="159">
        <f t="shared" ref="AH16:AH50" si="27">+AE16+W16+O16</f>
        <v>550771.19999999995</v>
      </c>
    </row>
    <row r="17" spans="1:34" x14ac:dyDescent="0.25">
      <c r="A17" s="46" t="s">
        <v>81</v>
      </c>
      <c r="B17" s="90">
        <f>+' NOMINAS ENE-DIC'!G237</f>
        <v>13744</v>
      </c>
      <c r="C17" s="91">
        <v>0</v>
      </c>
      <c r="D17" s="85">
        <f t="shared" ref="D17:D50" si="28">+B17*C17</f>
        <v>0</v>
      </c>
      <c r="E17" s="122">
        <v>0.6</v>
      </c>
      <c r="F17" s="123">
        <f t="shared" ref="F17:F50" si="29">+B17*E17</f>
        <v>8246.4</v>
      </c>
      <c r="G17" s="122">
        <v>0.4</v>
      </c>
      <c r="H17" s="123">
        <f t="shared" ref="H17:H50" si="30">+B17*G17</f>
        <v>5497.6</v>
      </c>
      <c r="I17" s="122">
        <v>0</v>
      </c>
      <c r="J17" s="123">
        <f t="shared" ref="J17:J50" si="31">+B17*I17</f>
        <v>0</v>
      </c>
      <c r="K17" s="122">
        <v>0</v>
      </c>
      <c r="L17" s="123">
        <f t="shared" ref="L17:L50" si="32">+B17*K17</f>
        <v>0</v>
      </c>
      <c r="M17" s="122">
        <v>0</v>
      </c>
      <c r="N17" s="123">
        <f t="shared" ref="N17:N49" si="33">+B17*M17</f>
        <v>0</v>
      </c>
      <c r="O17" s="93">
        <f t="shared" si="19"/>
        <v>13744</v>
      </c>
      <c r="P17" s="86">
        <v>0</v>
      </c>
      <c r="Q17" s="87">
        <f t="shared" si="20"/>
        <v>0</v>
      </c>
      <c r="R17" s="93">
        <f t="shared" ref="R17:R50" si="34">+Q17</f>
        <v>0</v>
      </c>
      <c r="S17" s="86">
        <v>0</v>
      </c>
      <c r="T17" s="87">
        <f t="shared" si="21"/>
        <v>0</v>
      </c>
      <c r="U17" s="86">
        <v>0</v>
      </c>
      <c r="V17" s="87">
        <f t="shared" si="22"/>
        <v>0</v>
      </c>
      <c r="W17" s="93">
        <f t="shared" ref="W17:W50" si="35">+T17+V17</f>
        <v>0</v>
      </c>
      <c r="X17" s="88">
        <v>0</v>
      </c>
      <c r="Y17" s="89">
        <f t="shared" si="23"/>
        <v>0</v>
      </c>
      <c r="Z17" s="88">
        <v>0</v>
      </c>
      <c r="AA17" s="89">
        <f t="shared" si="24"/>
        <v>0</v>
      </c>
      <c r="AB17" s="93">
        <f t="shared" ref="AB17:AB50" si="36">+Y17+AA17</f>
        <v>0</v>
      </c>
      <c r="AC17" s="88">
        <v>0</v>
      </c>
      <c r="AD17" s="89">
        <f t="shared" si="25"/>
        <v>0</v>
      </c>
      <c r="AE17" s="93">
        <f t="shared" ref="AE17:AE50" si="37">+AD17</f>
        <v>0</v>
      </c>
      <c r="AF17" s="81">
        <f t="shared" ref="AF17:AF50" si="38">+(D17+O17+R17+W17+AB17+AE17)-B17</f>
        <v>0</v>
      </c>
      <c r="AG17" s="82">
        <f t="shared" si="26"/>
        <v>1</v>
      </c>
      <c r="AH17" s="159">
        <f t="shared" si="27"/>
        <v>13744</v>
      </c>
    </row>
    <row r="18" spans="1:34" x14ac:dyDescent="0.25">
      <c r="A18" s="46" t="s">
        <v>268</v>
      </c>
      <c r="B18" s="90">
        <v>1000000</v>
      </c>
      <c r="C18" s="91">
        <v>0</v>
      </c>
      <c r="D18" s="85">
        <f t="shared" si="28"/>
        <v>0</v>
      </c>
      <c r="E18" s="122">
        <v>0.6</v>
      </c>
      <c r="F18" s="123">
        <f t="shared" si="29"/>
        <v>600000</v>
      </c>
      <c r="G18" s="122">
        <v>0.4</v>
      </c>
      <c r="H18" s="123">
        <f t="shared" si="30"/>
        <v>400000</v>
      </c>
      <c r="I18" s="122">
        <v>0</v>
      </c>
      <c r="J18" s="123">
        <f t="shared" si="31"/>
        <v>0</v>
      </c>
      <c r="K18" s="122">
        <v>0</v>
      </c>
      <c r="L18" s="123">
        <f t="shared" si="32"/>
        <v>0</v>
      </c>
      <c r="M18" s="122">
        <v>0</v>
      </c>
      <c r="N18" s="123">
        <f t="shared" si="33"/>
        <v>0</v>
      </c>
      <c r="O18" s="93">
        <f t="shared" si="19"/>
        <v>1000000</v>
      </c>
      <c r="P18" s="86">
        <v>0</v>
      </c>
      <c r="Q18" s="87">
        <f t="shared" si="20"/>
        <v>0</v>
      </c>
      <c r="R18" s="93">
        <f t="shared" si="34"/>
        <v>0</v>
      </c>
      <c r="S18" s="86">
        <v>0</v>
      </c>
      <c r="T18" s="87">
        <f t="shared" si="21"/>
        <v>0</v>
      </c>
      <c r="U18" s="86">
        <v>0</v>
      </c>
      <c r="V18" s="87">
        <f t="shared" si="22"/>
        <v>0</v>
      </c>
      <c r="W18" s="93">
        <f t="shared" si="35"/>
        <v>0</v>
      </c>
      <c r="X18" s="88">
        <v>0</v>
      </c>
      <c r="Y18" s="89">
        <f t="shared" si="23"/>
        <v>0</v>
      </c>
      <c r="Z18" s="88">
        <v>0</v>
      </c>
      <c r="AA18" s="89">
        <f t="shared" si="24"/>
        <v>0</v>
      </c>
      <c r="AB18" s="93">
        <f t="shared" si="36"/>
        <v>0</v>
      </c>
      <c r="AC18" s="88">
        <v>0</v>
      </c>
      <c r="AD18" s="89">
        <f t="shared" si="25"/>
        <v>0</v>
      </c>
      <c r="AE18" s="93">
        <f t="shared" si="37"/>
        <v>0</v>
      </c>
      <c r="AF18" s="81">
        <f t="shared" si="38"/>
        <v>0</v>
      </c>
      <c r="AG18" s="82">
        <f t="shared" si="26"/>
        <v>1</v>
      </c>
      <c r="AH18" s="159">
        <f t="shared" si="27"/>
        <v>1000000</v>
      </c>
    </row>
    <row r="19" spans="1:34" x14ac:dyDescent="0.25">
      <c r="A19" s="46" t="s">
        <v>186</v>
      </c>
      <c r="B19" s="90">
        <v>1050000</v>
      </c>
      <c r="C19" s="91">
        <v>0.1</v>
      </c>
      <c r="D19" s="85">
        <f t="shared" si="28"/>
        <v>105000</v>
      </c>
      <c r="E19" s="122">
        <v>0</v>
      </c>
      <c r="F19" s="123">
        <f t="shared" si="29"/>
        <v>0</v>
      </c>
      <c r="G19" s="122">
        <v>0</v>
      </c>
      <c r="H19" s="123">
        <f t="shared" si="30"/>
        <v>0</v>
      </c>
      <c r="I19" s="122">
        <v>0</v>
      </c>
      <c r="J19" s="123">
        <f t="shared" si="31"/>
        <v>0</v>
      </c>
      <c r="K19" s="122">
        <v>0.03</v>
      </c>
      <c r="L19" s="123">
        <f t="shared" si="32"/>
        <v>31500</v>
      </c>
      <c r="M19" s="122">
        <v>0.03</v>
      </c>
      <c r="N19" s="123">
        <f t="shared" si="33"/>
        <v>31500</v>
      </c>
      <c r="O19" s="93">
        <f t="shared" si="19"/>
        <v>63000</v>
      </c>
      <c r="P19" s="86">
        <v>0.01</v>
      </c>
      <c r="Q19" s="87">
        <f t="shared" si="20"/>
        <v>10500</v>
      </c>
      <c r="R19" s="93">
        <f t="shared" si="34"/>
        <v>10500</v>
      </c>
      <c r="S19" s="86">
        <v>0.2</v>
      </c>
      <c r="T19" s="87">
        <f t="shared" si="21"/>
        <v>210000</v>
      </c>
      <c r="U19" s="86">
        <v>0.15</v>
      </c>
      <c r="V19" s="87">
        <f t="shared" si="22"/>
        <v>157500</v>
      </c>
      <c r="W19" s="93">
        <f t="shared" si="35"/>
        <v>367500</v>
      </c>
      <c r="X19" s="88">
        <v>0.2</v>
      </c>
      <c r="Y19" s="89">
        <f t="shared" si="23"/>
        <v>210000</v>
      </c>
      <c r="Z19" s="88">
        <v>0.18</v>
      </c>
      <c r="AA19" s="89">
        <f t="shared" si="24"/>
        <v>189000</v>
      </c>
      <c r="AB19" s="93">
        <f t="shared" si="36"/>
        <v>399000</v>
      </c>
      <c r="AC19" s="88">
        <v>0.1</v>
      </c>
      <c r="AD19" s="89">
        <f t="shared" si="25"/>
        <v>105000</v>
      </c>
      <c r="AE19" s="93">
        <f t="shared" si="37"/>
        <v>105000</v>
      </c>
      <c r="AF19" s="81">
        <f t="shared" si="38"/>
        <v>0</v>
      </c>
      <c r="AG19" s="82">
        <f t="shared" si="26"/>
        <v>0.99999999999999989</v>
      </c>
      <c r="AH19" s="159">
        <f t="shared" si="27"/>
        <v>535500</v>
      </c>
    </row>
    <row r="20" spans="1:34" x14ac:dyDescent="0.25">
      <c r="A20" s="46" t="s">
        <v>276</v>
      </c>
      <c r="B20" s="90"/>
      <c r="C20" s="91">
        <v>0</v>
      </c>
      <c r="D20" s="85">
        <f t="shared" si="28"/>
        <v>0</v>
      </c>
      <c r="E20" s="122">
        <v>0</v>
      </c>
      <c r="F20" s="123">
        <f t="shared" si="29"/>
        <v>0</v>
      </c>
      <c r="G20" s="122">
        <v>0</v>
      </c>
      <c r="H20" s="123">
        <f t="shared" si="30"/>
        <v>0</v>
      </c>
      <c r="I20" s="122">
        <v>0</v>
      </c>
      <c r="J20" s="123">
        <f t="shared" si="31"/>
        <v>0</v>
      </c>
      <c r="K20" s="122">
        <v>0</v>
      </c>
      <c r="L20" s="123">
        <f t="shared" si="32"/>
        <v>0</v>
      </c>
      <c r="M20" s="122">
        <v>0</v>
      </c>
      <c r="N20" s="123">
        <f t="shared" si="33"/>
        <v>0</v>
      </c>
      <c r="O20" s="93">
        <f t="shared" si="19"/>
        <v>0</v>
      </c>
      <c r="P20" s="86">
        <v>0</v>
      </c>
      <c r="Q20" s="87">
        <f t="shared" si="20"/>
        <v>0</v>
      </c>
      <c r="R20" s="93">
        <f t="shared" si="34"/>
        <v>0</v>
      </c>
      <c r="S20" s="86">
        <v>0</v>
      </c>
      <c r="T20" s="87">
        <f t="shared" si="21"/>
        <v>0</v>
      </c>
      <c r="U20" s="86">
        <v>0</v>
      </c>
      <c r="V20" s="87">
        <f t="shared" si="22"/>
        <v>0</v>
      </c>
      <c r="W20" s="93">
        <f t="shared" si="35"/>
        <v>0</v>
      </c>
      <c r="X20" s="88">
        <v>0</v>
      </c>
      <c r="Y20" s="89">
        <f t="shared" si="23"/>
        <v>0</v>
      </c>
      <c r="Z20" s="88">
        <v>0</v>
      </c>
      <c r="AA20" s="89">
        <f t="shared" si="24"/>
        <v>0</v>
      </c>
      <c r="AB20" s="93">
        <f t="shared" si="36"/>
        <v>0</v>
      </c>
      <c r="AC20" s="88">
        <v>1</v>
      </c>
      <c r="AD20" s="89">
        <f t="shared" si="25"/>
        <v>0</v>
      </c>
      <c r="AE20" s="93">
        <f t="shared" si="37"/>
        <v>0</v>
      </c>
      <c r="AF20" s="81">
        <f t="shared" si="38"/>
        <v>0</v>
      </c>
      <c r="AG20" s="82">
        <f t="shared" si="26"/>
        <v>1</v>
      </c>
      <c r="AH20" s="159">
        <f t="shared" si="27"/>
        <v>0</v>
      </c>
    </row>
    <row r="21" spans="1:34" x14ac:dyDescent="0.25">
      <c r="A21" s="46" t="s">
        <v>277</v>
      </c>
      <c r="B21" s="90">
        <v>70954</v>
      </c>
      <c r="C21" s="91">
        <v>0.1</v>
      </c>
      <c r="D21" s="85">
        <f t="shared" si="28"/>
        <v>7095.4000000000005</v>
      </c>
      <c r="E21" s="122">
        <v>0</v>
      </c>
      <c r="F21" s="123">
        <f t="shared" si="29"/>
        <v>0</v>
      </c>
      <c r="G21" s="122">
        <v>0</v>
      </c>
      <c r="H21" s="123">
        <f t="shared" si="30"/>
        <v>0</v>
      </c>
      <c r="I21" s="122">
        <v>0</v>
      </c>
      <c r="J21" s="123">
        <f t="shared" si="31"/>
        <v>0</v>
      </c>
      <c r="K21" s="122">
        <v>0</v>
      </c>
      <c r="L21" s="123">
        <f t="shared" si="32"/>
        <v>0</v>
      </c>
      <c r="M21" s="122">
        <v>0</v>
      </c>
      <c r="N21" s="123">
        <f t="shared" si="33"/>
        <v>0</v>
      </c>
      <c r="O21" s="93">
        <f t="shared" si="19"/>
        <v>0</v>
      </c>
      <c r="P21" s="86">
        <v>0</v>
      </c>
      <c r="Q21" s="87">
        <f t="shared" si="20"/>
        <v>0</v>
      </c>
      <c r="R21" s="93">
        <f t="shared" si="34"/>
        <v>0</v>
      </c>
      <c r="S21" s="86">
        <v>0</v>
      </c>
      <c r="T21" s="87">
        <f t="shared" si="21"/>
        <v>0</v>
      </c>
      <c r="U21" s="86">
        <v>0</v>
      </c>
      <c r="V21" s="87">
        <f t="shared" si="22"/>
        <v>0</v>
      </c>
      <c r="W21" s="93">
        <f t="shared" si="35"/>
        <v>0</v>
      </c>
      <c r="X21" s="88">
        <v>0.1</v>
      </c>
      <c r="Y21" s="89">
        <f t="shared" si="23"/>
        <v>7095.4000000000005</v>
      </c>
      <c r="Z21" s="88">
        <v>0.7</v>
      </c>
      <c r="AA21" s="89">
        <f t="shared" si="24"/>
        <v>49667.799999999996</v>
      </c>
      <c r="AB21" s="93">
        <f t="shared" si="36"/>
        <v>56763.199999999997</v>
      </c>
      <c r="AC21" s="88">
        <v>0.1</v>
      </c>
      <c r="AD21" s="89">
        <f t="shared" si="25"/>
        <v>7095.4000000000005</v>
      </c>
      <c r="AE21" s="93">
        <f t="shared" si="37"/>
        <v>7095.4000000000005</v>
      </c>
      <c r="AF21" s="81">
        <f t="shared" si="38"/>
        <v>0</v>
      </c>
      <c r="AG21" s="82">
        <f t="shared" si="26"/>
        <v>0.99999999999999989</v>
      </c>
      <c r="AH21" s="159">
        <f t="shared" si="27"/>
        <v>7095.4000000000005</v>
      </c>
    </row>
    <row r="22" spans="1:34" x14ac:dyDescent="0.25">
      <c r="A22" s="46" t="s">
        <v>121</v>
      </c>
      <c r="B22" s="90"/>
      <c r="C22" s="91">
        <v>0.1</v>
      </c>
      <c r="D22" s="85">
        <f t="shared" si="28"/>
        <v>0</v>
      </c>
      <c r="E22" s="122">
        <v>0.05</v>
      </c>
      <c r="F22" s="123">
        <f t="shared" si="29"/>
        <v>0</v>
      </c>
      <c r="G22" s="122">
        <v>0.05</v>
      </c>
      <c r="H22" s="123">
        <f t="shared" si="30"/>
        <v>0</v>
      </c>
      <c r="I22" s="122">
        <v>0.01</v>
      </c>
      <c r="J22" s="123">
        <f t="shared" si="31"/>
        <v>0</v>
      </c>
      <c r="K22" s="122">
        <v>0</v>
      </c>
      <c r="L22" s="123">
        <f t="shared" si="32"/>
        <v>0</v>
      </c>
      <c r="M22" s="122">
        <v>0</v>
      </c>
      <c r="N22" s="123">
        <f t="shared" si="33"/>
        <v>0</v>
      </c>
      <c r="O22" s="93">
        <f t="shared" si="19"/>
        <v>0</v>
      </c>
      <c r="P22" s="86">
        <v>0</v>
      </c>
      <c r="Q22" s="87">
        <f t="shared" si="20"/>
        <v>0</v>
      </c>
      <c r="R22" s="93">
        <f t="shared" si="34"/>
        <v>0</v>
      </c>
      <c r="S22" s="86">
        <v>0.05</v>
      </c>
      <c r="T22" s="87">
        <f t="shared" si="21"/>
        <v>0</v>
      </c>
      <c r="U22" s="86">
        <v>0.05</v>
      </c>
      <c r="V22" s="87">
        <f t="shared" si="22"/>
        <v>0</v>
      </c>
      <c r="W22" s="93">
        <f t="shared" si="35"/>
        <v>0</v>
      </c>
      <c r="X22" s="88">
        <v>0</v>
      </c>
      <c r="Y22" s="89">
        <f t="shared" si="23"/>
        <v>0</v>
      </c>
      <c r="Z22" s="88">
        <v>0.45</v>
      </c>
      <c r="AA22" s="89">
        <f t="shared" si="24"/>
        <v>0</v>
      </c>
      <c r="AB22" s="93">
        <f t="shared" si="36"/>
        <v>0</v>
      </c>
      <c r="AC22" s="88">
        <v>0.24</v>
      </c>
      <c r="AD22" s="89">
        <f t="shared" si="25"/>
        <v>0</v>
      </c>
      <c r="AE22" s="93">
        <f t="shared" si="37"/>
        <v>0</v>
      </c>
      <c r="AF22" s="81">
        <f t="shared" si="38"/>
        <v>0</v>
      </c>
      <c r="AG22" s="82">
        <f t="shared" si="26"/>
        <v>1</v>
      </c>
      <c r="AH22" s="159">
        <f t="shared" si="27"/>
        <v>0</v>
      </c>
    </row>
    <row r="23" spans="1:34" x14ac:dyDescent="0.25">
      <c r="A23" s="46" t="s">
        <v>111</v>
      </c>
      <c r="B23" s="90">
        <f>106680+487594</f>
        <v>594274</v>
      </c>
      <c r="C23" s="91">
        <v>0</v>
      </c>
      <c r="D23" s="85">
        <f t="shared" si="28"/>
        <v>0</v>
      </c>
      <c r="E23" s="122">
        <v>0</v>
      </c>
      <c r="F23" s="123">
        <f t="shared" si="29"/>
        <v>0</v>
      </c>
      <c r="G23" s="122">
        <v>0</v>
      </c>
      <c r="H23" s="123">
        <f t="shared" si="30"/>
        <v>0</v>
      </c>
      <c r="I23" s="122">
        <v>0</v>
      </c>
      <c r="J23" s="123">
        <f t="shared" si="31"/>
        <v>0</v>
      </c>
      <c r="K23" s="122">
        <v>0</v>
      </c>
      <c r="L23" s="123">
        <f t="shared" si="32"/>
        <v>0</v>
      </c>
      <c r="M23" s="122">
        <v>0</v>
      </c>
      <c r="N23" s="123">
        <f t="shared" si="33"/>
        <v>0</v>
      </c>
      <c r="O23" s="93">
        <f t="shared" si="19"/>
        <v>0</v>
      </c>
      <c r="P23" s="86">
        <v>0</v>
      </c>
      <c r="Q23" s="87">
        <f t="shared" si="20"/>
        <v>0</v>
      </c>
      <c r="R23" s="93">
        <f t="shared" si="34"/>
        <v>0</v>
      </c>
      <c r="S23" s="86">
        <v>0</v>
      </c>
      <c r="T23" s="87">
        <f t="shared" si="21"/>
        <v>0</v>
      </c>
      <c r="U23" s="86">
        <v>0</v>
      </c>
      <c r="V23" s="87">
        <f t="shared" si="22"/>
        <v>0</v>
      </c>
      <c r="W23" s="93">
        <f t="shared" si="35"/>
        <v>0</v>
      </c>
      <c r="X23" s="88">
        <v>0</v>
      </c>
      <c r="Y23" s="89">
        <f t="shared" si="23"/>
        <v>0</v>
      </c>
      <c r="Z23" s="88">
        <v>0</v>
      </c>
      <c r="AA23" s="89">
        <f t="shared" si="24"/>
        <v>0</v>
      </c>
      <c r="AB23" s="93">
        <f t="shared" si="36"/>
        <v>0</v>
      </c>
      <c r="AC23" s="88">
        <v>1</v>
      </c>
      <c r="AD23" s="89">
        <f t="shared" si="25"/>
        <v>594274</v>
      </c>
      <c r="AE23" s="93">
        <f t="shared" si="37"/>
        <v>594274</v>
      </c>
      <c r="AF23" s="81">
        <f t="shared" si="38"/>
        <v>0</v>
      </c>
      <c r="AG23" s="82">
        <f t="shared" si="26"/>
        <v>1</v>
      </c>
      <c r="AH23" s="159">
        <f t="shared" si="27"/>
        <v>594274</v>
      </c>
    </row>
    <row r="24" spans="1:34" x14ac:dyDescent="0.25">
      <c r="A24" s="46" t="s">
        <v>220</v>
      </c>
      <c r="B24" s="90">
        <v>191217</v>
      </c>
      <c r="C24" s="91">
        <v>0.1</v>
      </c>
      <c r="D24" s="85">
        <f t="shared" si="28"/>
        <v>19121.7</v>
      </c>
      <c r="E24" s="122">
        <v>0.05</v>
      </c>
      <c r="F24" s="123">
        <f t="shared" si="29"/>
        <v>9560.85</v>
      </c>
      <c r="G24" s="122">
        <v>0.15</v>
      </c>
      <c r="H24" s="123">
        <f t="shared" si="30"/>
        <v>28682.55</v>
      </c>
      <c r="I24" s="122">
        <v>0</v>
      </c>
      <c r="J24" s="123">
        <f t="shared" si="31"/>
        <v>0</v>
      </c>
      <c r="K24" s="122">
        <v>0</v>
      </c>
      <c r="L24" s="123">
        <f t="shared" si="32"/>
        <v>0</v>
      </c>
      <c r="M24" s="122">
        <v>0</v>
      </c>
      <c r="N24" s="123">
        <f t="shared" si="33"/>
        <v>0</v>
      </c>
      <c r="O24" s="93">
        <f t="shared" si="19"/>
        <v>38243.4</v>
      </c>
      <c r="P24" s="86">
        <v>0</v>
      </c>
      <c r="Q24" s="87">
        <f t="shared" si="20"/>
        <v>0</v>
      </c>
      <c r="R24" s="93">
        <f t="shared" si="34"/>
        <v>0</v>
      </c>
      <c r="S24" s="86">
        <v>0</v>
      </c>
      <c r="T24" s="87">
        <f t="shared" si="21"/>
        <v>0</v>
      </c>
      <c r="U24" s="86">
        <v>0.05</v>
      </c>
      <c r="V24" s="87">
        <f t="shared" si="22"/>
        <v>9560.85</v>
      </c>
      <c r="W24" s="93">
        <f t="shared" si="35"/>
        <v>9560.85</v>
      </c>
      <c r="X24" s="88">
        <v>0.15</v>
      </c>
      <c r="Y24" s="89">
        <f t="shared" si="23"/>
        <v>28682.55</v>
      </c>
      <c r="Z24" s="88">
        <v>0.45</v>
      </c>
      <c r="AA24" s="89">
        <f t="shared" si="24"/>
        <v>86047.650000000009</v>
      </c>
      <c r="AB24" s="93">
        <f t="shared" si="36"/>
        <v>114730.20000000001</v>
      </c>
      <c r="AC24" s="88">
        <v>0.05</v>
      </c>
      <c r="AD24" s="89">
        <f t="shared" si="25"/>
        <v>9560.85</v>
      </c>
      <c r="AE24" s="93">
        <f t="shared" si="37"/>
        <v>9560.85</v>
      </c>
      <c r="AF24" s="81">
        <f t="shared" si="38"/>
        <v>0</v>
      </c>
      <c r="AG24" s="82">
        <f t="shared" si="26"/>
        <v>1</v>
      </c>
      <c r="AH24" s="159">
        <f t="shared" si="27"/>
        <v>57365.100000000006</v>
      </c>
    </row>
    <row r="25" spans="1:34" x14ac:dyDescent="0.25">
      <c r="A25" s="46" t="s">
        <v>68</v>
      </c>
      <c r="B25" s="90">
        <v>239444</v>
      </c>
      <c r="C25" s="91">
        <v>0.1</v>
      </c>
      <c r="D25" s="85">
        <f t="shared" si="28"/>
        <v>23944.400000000001</v>
      </c>
      <c r="E25" s="122">
        <v>0.05</v>
      </c>
      <c r="F25" s="123">
        <f t="shared" si="29"/>
        <v>11972.2</v>
      </c>
      <c r="G25" s="122">
        <v>0.15</v>
      </c>
      <c r="H25" s="123">
        <f t="shared" si="30"/>
        <v>35916.6</v>
      </c>
      <c r="I25" s="122">
        <v>0</v>
      </c>
      <c r="J25" s="123">
        <f t="shared" si="31"/>
        <v>0</v>
      </c>
      <c r="K25" s="122">
        <v>0</v>
      </c>
      <c r="L25" s="123">
        <f t="shared" si="32"/>
        <v>0</v>
      </c>
      <c r="M25" s="122">
        <v>0</v>
      </c>
      <c r="N25" s="123">
        <f t="shared" si="33"/>
        <v>0</v>
      </c>
      <c r="O25" s="93">
        <f t="shared" si="19"/>
        <v>47888.800000000003</v>
      </c>
      <c r="P25" s="86">
        <v>0</v>
      </c>
      <c r="Q25" s="87">
        <f t="shared" si="20"/>
        <v>0</v>
      </c>
      <c r="R25" s="93">
        <f t="shared" si="34"/>
        <v>0</v>
      </c>
      <c r="S25" s="86">
        <v>0</v>
      </c>
      <c r="T25" s="87">
        <f t="shared" si="21"/>
        <v>0</v>
      </c>
      <c r="U25" s="86">
        <v>0.05</v>
      </c>
      <c r="V25" s="87">
        <f t="shared" si="22"/>
        <v>11972.2</v>
      </c>
      <c r="W25" s="93">
        <f t="shared" si="35"/>
        <v>11972.2</v>
      </c>
      <c r="X25" s="88">
        <v>0.15</v>
      </c>
      <c r="Y25" s="89">
        <f t="shared" si="23"/>
        <v>35916.6</v>
      </c>
      <c r="Z25" s="88">
        <v>0.45</v>
      </c>
      <c r="AA25" s="89">
        <f t="shared" si="24"/>
        <v>107749.8</v>
      </c>
      <c r="AB25" s="93">
        <f t="shared" si="36"/>
        <v>143666.4</v>
      </c>
      <c r="AC25" s="88">
        <v>0.05</v>
      </c>
      <c r="AD25" s="89">
        <f t="shared" si="25"/>
        <v>11972.2</v>
      </c>
      <c r="AE25" s="93">
        <f t="shared" si="37"/>
        <v>11972.2</v>
      </c>
      <c r="AF25" s="81">
        <f t="shared" si="38"/>
        <v>0</v>
      </c>
      <c r="AG25" s="82">
        <f t="shared" si="26"/>
        <v>1</v>
      </c>
      <c r="AH25" s="159">
        <f t="shared" si="27"/>
        <v>71833.200000000012</v>
      </c>
    </row>
    <row r="26" spans="1:34" x14ac:dyDescent="0.25">
      <c r="A26" s="46" t="s">
        <v>187</v>
      </c>
      <c r="B26" s="90"/>
      <c r="C26" s="91">
        <v>0.1</v>
      </c>
      <c r="D26" s="85">
        <f t="shared" si="28"/>
        <v>0</v>
      </c>
      <c r="E26" s="122">
        <v>0</v>
      </c>
      <c r="F26" s="123">
        <f t="shared" si="29"/>
        <v>0</v>
      </c>
      <c r="G26" s="122">
        <v>0</v>
      </c>
      <c r="H26" s="123">
        <f t="shared" si="30"/>
        <v>0</v>
      </c>
      <c r="I26" s="122">
        <v>0.1</v>
      </c>
      <c r="J26" s="123">
        <f t="shared" si="31"/>
        <v>0</v>
      </c>
      <c r="K26" s="122">
        <v>0</v>
      </c>
      <c r="L26" s="123">
        <f t="shared" si="32"/>
        <v>0</v>
      </c>
      <c r="M26" s="122">
        <v>0</v>
      </c>
      <c r="N26" s="123">
        <f t="shared" si="33"/>
        <v>0</v>
      </c>
      <c r="O26" s="93">
        <f t="shared" si="19"/>
        <v>0</v>
      </c>
      <c r="P26" s="86">
        <v>0</v>
      </c>
      <c r="Q26" s="87">
        <f t="shared" si="20"/>
        <v>0</v>
      </c>
      <c r="R26" s="93">
        <f t="shared" si="34"/>
        <v>0</v>
      </c>
      <c r="S26" s="86">
        <v>0.05</v>
      </c>
      <c r="T26" s="87">
        <f t="shared" si="21"/>
        <v>0</v>
      </c>
      <c r="U26" s="86">
        <v>0.1</v>
      </c>
      <c r="V26" s="87">
        <f t="shared" si="22"/>
        <v>0</v>
      </c>
      <c r="W26" s="93">
        <f t="shared" si="35"/>
        <v>0</v>
      </c>
      <c r="X26" s="88">
        <v>0.05</v>
      </c>
      <c r="Y26" s="89">
        <f t="shared" si="23"/>
        <v>0</v>
      </c>
      <c r="Z26" s="88">
        <v>0.6</v>
      </c>
      <c r="AA26" s="89">
        <f t="shared" si="24"/>
        <v>0</v>
      </c>
      <c r="AB26" s="93">
        <f t="shared" si="36"/>
        <v>0</v>
      </c>
      <c r="AC26" s="88">
        <v>0</v>
      </c>
      <c r="AD26" s="89">
        <f t="shared" si="25"/>
        <v>0</v>
      </c>
      <c r="AE26" s="93">
        <f t="shared" si="37"/>
        <v>0</v>
      </c>
      <c r="AF26" s="81">
        <f t="shared" si="38"/>
        <v>0</v>
      </c>
      <c r="AG26" s="82">
        <f t="shared" si="26"/>
        <v>1</v>
      </c>
      <c r="AH26" s="159">
        <f t="shared" si="27"/>
        <v>0</v>
      </c>
    </row>
    <row r="27" spans="1:34" x14ac:dyDescent="0.25">
      <c r="A27" s="46" t="s">
        <v>188</v>
      </c>
      <c r="B27" s="90">
        <v>211547</v>
      </c>
      <c r="C27" s="91">
        <v>0.1</v>
      </c>
      <c r="D27" s="85">
        <f t="shared" si="28"/>
        <v>21154.7</v>
      </c>
      <c r="E27" s="122">
        <v>0</v>
      </c>
      <c r="F27" s="123">
        <f t="shared" si="29"/>
        <v>0</v>
      </c>
      <c r="G27" s="122">
        <v>0.1</v>
      </c>
      <c r="H27" s="123">
        <f t="shared" si="30"/>
        <v>21154.7</v>
      </c>
      <c r="I27" s="122">
        <v>0.02</v>
      </c>
      <c r="J27" s="123">
        <f t="shared" si="31"/>
        <v>4230.9400000000005</v>
      </c>
      <c r="K27" s="122">
        <v>0</v>
      </c>
      <c r="L27" s="123">
        <f t="shared" si="32"/>
        <v>0</v>
      </c>
      <c r="M27" s="122">
        <v>0</v>
      </c>
      <c r="N27" s="123">
        <f t="shared" si="33"/>
        <v>0</v>
      </c>
      <c r="O27" s="93">
        <f t="shared" si="19"/>
        <v>25385.64</v>
      </c>
      <c r="P27" s="86">
        <v>0</v>
      </c>
      <c r="Q27" s="87">
        <f t="shared" si="20"/>
        <v>0</v>
      </c>
      <c r="R27" s="93">
        <f t="shared" si="34"/>
        <v>0</v>
      </c>
      <c r="S27" s="86">
        <v>0.1</v>
      </c>
      <c r="T27" s="87">
        <f t="shared" si="21"/>
        <v>21154.7</v>
      </c>
      <c r="U27" s="86">
        <v>0.05</v>
      </c>
      <c r="V27" s="87">
        <f t="shared" si="22"/>
        <v>10577.35</v>
      </c>
      <c r="W27" s="93">
        <f t="shared" si="35"/>
        <v>31732.050000000003</v>
      </c>
      <c r="X27" s="88">
        <v>0.02</v>
      </c>
      <c r="Y27" s="89">
        <f t="shared" si="23"/>
        <v>4230.9400000000005</v>
      </c>
      <c r="Z27" s="88">
        <v>0.61</v>
      </c>
      <c r="AA27" s="89">
        <f t="shared" si="24"/>
        <v>129043.67</v>
      </c>
      <c r="AB27" s="93">
        <f t="shared" si="36"/>
        <v>133274.60999999999</v>
      </c>
      <c r="AC27" s="88">
        <v>0</v>
      </c>
      <c r="AD27" s="89">
        <f t="shared" si="25"/>
        <v>0</v>
      </c>
      <c r="AE27" s="93">
        <f t="shared" si="37"/>
        <v>0</v>
      </c>
      <c r="AF27" s="81">
        <f t="shared" si="38"/>
        <v>0</v>
      </c>
      <c r="AG27" s="82">
        <f t="shared" si="26"/>
        <v>1</v>
      </c>
      <c r="AH27" s="159">
        <f t="shared" si="27"/>
        <v>57117.69</v>
      </c>
    </row>
    <row r="28" spans="1:34" x14ac:dyDescent="0.25">
      <c r="A28" s="46" t="s">
        <v>263</v>
      </c>
      <c r="B28" s="90"/>
      <c r="C28" s="91">
        <v>0.1</v>
      </c>
      <c r="D28" s="85">
        <f t="shared" si="28"/>
        <v>0</v>
      </c>
      <c r="E28" s="122">
        <v>0</v>
      </c>
      <c r="F28" s="123">
        <f t="shared" si="29"/>
        <v>0</v>
      </c>
      <c r="G28" s="122">
        <v>0.1</v>
      </c>
      <c r="H28" s="123">
        <f t="shared" si="30"/>
        <v>0</v>
      </c>
      <c r="I28" s="122">
        <v>0.02</v>
      </c>
      <c r="J28" s="123">
        <f t="shared" si="31"/>
        <v>0</v>
      </c>
      <c r="K28" s="122">
        <v>0</v>
      </c>
      <c r="L28" s="123">
        <f t="shared" si="32"/>
        <v>0</v>
      </c>
      <c r="M28" s="122">
        <v>0</v>
      </c>
      <c r="N28" s="123">
        <f t="shared" si="33"/>
        <v>0</v>
      </c>
      <c r="O28" s="93">
        <f t="shared" si="19"/>
        <v>0</v>
      </c>
      <c r="P28" s="86">
        <v>0</v>
      </c>
      <c r="Q28" s="87">
        <f t="shared" si="20"/>
        <v>0</v>
      </c>
      <c r="R28" s="93">
        <f t="shared" si="34"/>
        <v>0</v>
      </c>
      <c r="S28" s="86">
        <v>0.1</v>
      </c>
      <c r="T28" s="87">
        <f t="shared" si="21"/>
        <v>0</v>
      </c>
      <c r="U28" s="86">
        <v>0.05</v>
      </c>
      <c r="V28" s="87">
        <f t="shared" si="22"/>
        <v>0</v>
      </c>
      <c r="W28" s="93">
        <f t="shared" si="35"/>
        <v>0</v>
      </c>
      <c r="X28" s="88">
        <v>0.02</v>
      </c>
      <c r="Y28" s="89">
        <f t="shared" si="23"/>
        <v>0</v>
      </c>
      <c r="Z28" s="88">
        <v>0.61</v>
      </c>
      <c r="AA28" s="89">
        <f t="shared" si="24"/>
        <v>0</v>
      </c>
      <c r="AB28" s="93">
        <f t="shared" si="36"/>
        <v>0</v>
      </c>
      <c r="AC28" s="88">
        <v>0</v>
      </c>
      <c r="AD28" s="89">
        <f t="shared" si="25"/>
        <v>0</v>
      </c>
      <c r="AE28" s="93">
        <f t="shared" si="37"/>
        <v>0</v>
      </c>
      <c r="AF28" s="81">
        <f t="shared" si="38"/>
        <v>0</v>
      </c>
      <c r="AG28" s="82">
        <f t="shared" si="26"/>
        <v>1</v>
      </c>
      <c r="AH28" s="159">
        <f t="shared" si="27"/>
        <v>0</v>
      </c>
    </row>
    <row r="29" spans="1:34" x14ac:dyDescent="0.25">
      <c r="A29" s="46" t="s">
        <v>108</v>
      </c>
      <c r="B29" s="90"/>
      <c r="C29" s="91">
        <v>0.1</v>
      </c>
      <c r="D29" s="85">
        <f t="shared" si="28"/>
        <v>0</v>
      </c>
      <c r="E29" s="122">
        <v>0.05</v>
      </c>
      <c r="F29" s="123">
        <f t="shared" si="29"/>
        <v>0</v>
      </c>
      <c r="G29" s="122">
        <v>0.05</v>
      </c>
      <c r="H29" s="123">
        <f t="shared" si="30"/>
        <v>0</v>
      </c>
      <c r="I29" s="122">
        <v>0.01</v>
      </c>
      <c r="J29" s="123">
        <f t="shared" si="31"/>
        <v>0</v>
      </c>
      <c r="K29" s="122">
        <v>0</v>
      </c>
      <c r="L29" s="123">
        <f t="shared" si="32"/>
        <v>0</v>
      </c>
      <c r="M29" s="122">
        <v>0</v>
      </c>
      <c r="N29" s="123">
        <f t="shared" si="33"/>
        <v>0</v>
      </c>
      <c r="O29" s="93">
        <f t="shared" si="19"/>
        <v>0</v>
      </c>
      <c r="P29" s="86">
        <v>0</v>
      </c>
      <c r="Q29" s="87">
        <f t="shared" si="20"/>
        <v>0</v>
      </c>
      <c r="R29" s="93">
        <f t="shared" si="34"/>
        <v>0</v>
      </c>
      <c r="S29" s="86">
        <v>0.02</v>
      </c>
      <c r="T29" s="87">
        <f t="shared" si="21"/>
        <v>0</v>
      </c>
      <c r="U29" s="86">
        <v>0.25</v>
      </c>
      <c r="V29" s="87">
        <f t="shared" si="22"/>
        <v>0</v>
      </c>
      <c r="W29" s="93">
        <f t="shared" si="35"/>
        <v>0</v>
      </c>
      <c r="X29" s="88">
        <v>0.02</v>
      </c>
      <c r="Y29" s="89">
        <f t="shared" si="23"/>
        <v>0</v>
      </c>
      <c r="Z29" s="88">
        <v>0.5</v>
      </c>
      <c r="AA29" s="89">
        <f t="shared" si="24"/>
        <v>0</v>
      </c>
      <c r="AB29" s="93">
        <f t="shared" si="36"/>
        <v>0</v>
      </c>
      <c r="AC29" s="88">
        <v>0</v>
      </c>
      <c r="AD29" s="89">
        <f t="shared" si="25"/>
        <v>0</v>
      </c>
      <c r="AE29" s="93">
        <f t="shared" si="37"/>
        <v>0</v>
      </c>
      <c r="AF29" s="81">
        <f t="shared" si="38"/>
        <v>0</v>
      </c>
      <c r="AG29" s="82">
        <f t="shared" si="26"/>
        <v>1</v>
      </c>
      <c r="AH29" s="159">
        <f t="shared" si="27"/>
        <v>0</v>
      </c>
    </row>
    <row r="30" spans="1:34" x14ac:dyDescent="0.25">
      <c r="A30" s="46" t="s">
        <v>155</v>
      </c>
      <c r="B30" s="90">
        <v>50850</v>
      </c>
      <c r="C30" s="91">
        <v>0.1</v>
      </c>
      <c r="D30" s="85">
        <f t="shared" si="28"/>
        <v>5085</v>
      </c>
      <c r="E30" s="122">
        <v>0</v>
      </c>
      <c r="F30" s="123">
        <f t="shared" si="29"/>
        <v>0</v>
      </c>
      <c r="G30" s="122">
        <v>0</v>
      </c>
      <c r="H30" s="123">
        <f t="shared" si="30"/>
        <v>0</v>
      </c>
      <c r="I30" s="122">
        <v>0</v>
      </c>
      <c r="J30" s="123">
        <f t="shared" si="31"/>
        <v>0</v>
      </c>
      <c r="K30" s="122">
        <v>0</v>
      </c>
      <c r="L30" s="123">
        <f t="shared" si="32"/>
        <v>0</v>
      </c>
      <c r="M30" s="122">
        <v>0</v>
      </c>
      <c r="N30" s="123">
        <f t="shared" si="33"/>
        <v>0</v>
      </c>
      <c r="O30" s="93">
        <f t="shared" si="19"/>
        <v>0</v>
      </c>
      <c r="P30" s="86">
        <v>0.1</v>
      </c>
      <c r="Q30" s="87">
        <f t="shared" si="20"/>
        <v>5085</v>
      </c>
      <c r="R30" s="93">
        <f t="shared" si="34"/>
        <v>5085</v>
      </c>
      <c r="S30" s="86">
        <v>0.1</v>
      </c>
      <c r="T30" s="87">
        <f t="shared" si="21"/>
        <v>5085</v>
      </c>
      <c r="U30" s="86">
        <v>0.28000000000000003</v>
      </c>
      <c r="V30" s="87">
        <f t="shared" si="22"/>
        <v>14238.000000000002</v>
      </c>
      <c r="W30" s="93">
        <f t="shared" si="35"/>
        <v>19323</v>
      </c>
      <c r="X30" s="88">
        <v>0.02</v>
      </c>
      <c r="Y30" s="89">
        <f t="shared" si="23"/>
        <v>1017</v>
      </c>
      <c r="Z30" s="88">
        <v>0.4</v>
      </c>
      <c r="AA30" s="89">
        <f t="shared" si="24"/>
        <v>20340</v>
      </c>
      <c r="AB30" s="93">
        <f t="shared" si="36"/>
        <v>21357</v>
      </c>
      <c r="AC30" s="88">
        <v>0</v>
      </c>
      <c r="AD30" s="89">
        <f t="shared" si="25"/>
        <v>0</v>
      </c>
      <c r="AE30" s="93">
        <f t="shared" si="37"/>
        <v>0</v>
      </c>
      <c r="AF30" s="81">
        <f t="shared" si="38"/>
        <v>0</v>
      </c>
      <c r="AG30" s="82">
        <f t="shared" si="26"/>
        <v>1</v>
      </c>
      <c r="AH30" s="159">
        <f t="shared" si="27"/>
        <v>19323</v>
      </c>
    </row>
    <row r="31" spans="1:34" x14ac:dyDescent="0.25">
      <c r="A31" s="46" t="s">
        <v>115</v>
      </c>
      <c r="B31" s="90"/>
      <c r="C31" s="91">
        <v>0.1</v>
      </c>
      <c r="D31" s="85">
        <f t="shared" si="28"/>
        <v>0</v>
      </c>
      <c r="E31" s="122">
        <v>0</v>
      </c>
      <c r="F31" s="123">
        <f t="shared" si="29"/>
        <v>0</v>
      </c>
      <c r="G31" s="122">
        <v>0</v>
      </c>
      <c r="H31" s="123">
        <f t="shared" si="30"/>
        <v>0</v>
      </c>
      <c r="I31" s="122">
        <v>0</v>
      </c>
      <c r="J31" s="123">
        <f t="shared" si="31"/>
        <v>0</v>
      </c>
      <c r="K31" s="122">
        <v>0</v>
      </c>
      <c r="L31" s="123">
        <f t="shared" si="32"/>
        <v>0</v>
      </c>
      <c r="M31" s="122">
        <v>0</v>
      </c>
      <c r="N31" s="123">
        <f t="shared" si="33"/>
        <v>0</v>
      </c>
      <c r="O31" s="93">
        <f t="shared" si="19"/>
        <v>0</v>
      </c>
      <c r="P31" s="86">
        <v>0.01</v>
      </c>
      <c r="Q31" s="87">
        <f t="shared" si="20"/>
        <v>0</v>
      </c>
      <c r="R31" s="93">
        <f t="shared" si="34"/>
        <v>0</v>
      </c>
      <c r="S31" s="86">
        <v>0.1</v>
      </c>
      <c r="T31" s="87">
        <f t="shared" si="21"/>
        <v>0</v>
      </c>
      <c r="U31" s="86">
        <v>0.2</v>
      </c>
      <c r="V31" s="87">
        <f t="shared" si="22"/>
        <v>0</v>
      </c>
      <c r="W31" s="93">
        <f t="shared" si="35"/>
        <v>0</v>
      </c>
      <c r="X31" s="88">
        <v>0.05</v>
      </c>
      <c r="Y31" s="89">
        <f t="shared" si="23"/>
        <v>0</v>
      </c>
      <c r="Z31" s="88">
        <v>0.5</v>
      </c>
      <c r="AA31" s="89">
        <f t="shared" si="24"/>
        <v>0</v>
      </c>
      <c r="AB31" s="93">
        <f t="shared" si="36"/>
        <v>0</v>
      </c>
      <c r="AC31" s="88">
        <v>0.04</v>
      </c>
      <c r="AD31" s="89">
        <f t="shared" si="25"/>
        <v>0</v>
      </c>
      <c r="AE31" s="93">
        <f t="shared" si="37"/>
        <v>0</v>
      </c>
      <c r="AF31" s="81">
        <f t="shared" si="38"/>
        <v>0</v>
      </c>
      <c r="AG31" s="82">
        <f t="shared" si="26"/>
        <v>1</v>
      </c>
      <c r="AH31" s="159">
        <f t="shared" si="27"/>
        <v>0</v>
      </c>
    </row>
    <row r="32" spans="1:34" x14ac:dyDescent="0.25">
      <c r="A32" s="46" t="s">
        <v>72</v>
      </c>
      <c r="B32" s="90"/>
      <c r="C32" s="91">
        <v>0.1</v>
      </c>
      <c r="D32" s="85">
        <f t="shared" si="28"/>
        <v>0</v>
      </c>
      <c r="E32" s="122">
        <v>0</v>
      </c>
      <c r="F32" s="123">
        <f t="shared" si="29"/>
        <v>0</v>
      </c>
      <c r="G32" s="122">
        <v>0</v>
      </c>
      <c r="H32" s="123">
        <f t="shared" si="30"/>
        <v>0</v>
      </c>
      <c r="I32" s="122">
        <v>0</v>
      </c>
      <c r="J32" s="123">
        <f t="shared" si="31"/>
        <v>0</v>
      </c>
      <c r="K32" s="122">
        <v>0</v>
      </c>
      <c r="L32" s="123">
        <f t="shared" si="32"/>
        <v>0</v>
      </c>
      <c r="M32" s="122">
        <v>0</v>
      </c>
      <c r="N32" s="123">
        <f t="shared" si="33"/>
        <v>0</v>
      </c>
      <c r="O32" s="93">
        <f t="shared" si="19"/>
        <v>0</v>
      </c>
      <c r="P32" s="86">
        <v>0.01</v>
      </c>
      <c r="Q32" s="87">
        <f t="shared" si="20"/>
        <v>0</v>
      </c>
      <c r="R32" s="93">
        <f t="shared" si="34"/>
        <v>0</v>
      </c>
      <c r="S32" s="86">
        <v>0.1</v>
      </c>
      <c r="T32" s="87">
        <f t="shared" si="21"/>
        <v>0</v>
      </c>
      <c r="U32" s="86">
        <v>0.2</v>
      </c>
      <c r="V32" s="87">
        <f t="shared" si="22"/>
        <v>0</v>
      </c>
      <c r="W32" s="93">
        <f t="shared" si="35"/>
        <v>0</v>
      </c>
      <c r="X32" s="88">
        <v>0.05</v>
      </c>
      <c r="Y32" s="89">
        <f t="shared" si="23"/>
        <v>0</v>
      </c>
      <c r="Z32" s="88">
        <v>0.3</v>
      </c>
      <c r="AA32" s="89">
        <f t="shared" si="24"/>
        <v>0</v>
      </c>
      <c r="AB32" s="93">
        <f t="shared" si="36"/>
        <v>0</v>
      </c>
      <c r="AC32" s="88">
        <v>0.24</v>
      </c>
      <c r="AD32" s="89">
        <f t="shared" si="25"/>
        <v>0</v>
      </c>
      <c r="AE32" s="93">
        <f t="shared" si="37"/>
        <v>0</v>
      </c>
      <c r="AF32" s="81">
        <f t="shared" si="38"/>
        <v>0</v>
      </c>
      <c r="AG32" s="82">
        <f t="shared" si="26"/>
        <v>1</v>
      </c>
      <c r="AH32" s="159">
        <f t="shared" si="27"/>
        <v>0</v>
      </c>
    </row>
    <row r="33" spans="1:34" x14ac:dyDescent="0.25">
      <c r="A33" s="46" t="s">
        <v>52</v>
      </c>
      <c r="B33" s="90"/>
      <c r="C33" s="91">
        <v>0.1</v>
      </c>
      <c r="D33" s="85">
        <f t="shared" si="28"/>
        <v>0</v>
      </c>
      <c r="E33" s="122">
        <v>0</v>
      </c>
      <c r="F33" s="123">
        <f t="shared" si="29"/>
        <v>0</v>
      </c>
      <c r="G33" s="122">
        <v>0</v>
      </c>
      <c r="H33" s="123">
        <f t="shared" si="30"/>
        <v>0</v>
      </c>
      <c r="I33" s="122">
        <v>0</v>
      </c>
      <c r="J33" s="123">
        <f t="shared" si="31"/>
        <v>0</v>
      </c>
      <c r="K33" s="122">
        <v>0</v>
      </c>
      <c r="L33" s="123">
        <f t="shared" si="32"/>
        <v>0</v>
      </c>
      <c r="M33" s="122">
        <v>0</v>
      </c>
      <c r="N33" s="123">
        <f t="shared" si="33"/>
        <v>0</v>
      </c>
      <c r="O33" s="93">
        <f t="shared" si="19"/>
        <v>0</v>
      </c>
      <c r="P33" s="86">
        <v>0.01</v>
      </c>
      <c r="Q33" s="87">
        <f t="shared" si="20"/>
        <v>0</v>
      </c>
      <c r="R33" s="93">
        <f t="shared" si="34"/>
        <v>0</v>
      </c>
      <c r="S33" s="86">
        <v>0.1</v>
      </c>
      <c r="T33" s="87">
        <f t="shared" si="21"/>
        <v>0</v>
      </c>
      <c r="U33" s="86">
        <v>0.2</v>
      </c>
      <c r="V33" s="87">
        <f t="shared" si="22"/>
        <v>0</v>
      </c>
      <c r="W33" s="93">
        <f t="shared" si="35"/>
        <v>0</v>
      </c>
      <c r="X33" s="88">
        <v>0.05</v>
      </c>
      <c r="Y33" s="89">
        <f t="shared" si="23"/>
        <v>0</v>
      </c>
      <c r="Z33" s="88">
        <v>0.54</v>
      </c>
      <c r="AA33" s="89">
        <f t="shared" si="24"/>
        <v>0</v>
      </c>
      <c r="AB33" s="93">
        <f t="shared" si="36"/>
        <v>0</v>
      </c>
      <c r="AC33" s="88">
        <v>0</v>
      </c>
      <c r="AD33" s="89">
        <f t="shared" si="25"/>
        <v>0</v>
      </c>
      <c r="AE33" s="93">
        <f t="shared" si="37"/>
        <v>0</v>
      </c>
      <c r="AF33" s="81">
        <f t="shared" si="38"/>
        <v>0</v>
      </c>
      <c r="AG33" s="82">
        <f t="shared" si="26"/>
        <v>1</v>
      </c>
      <c r="AH33" s="159">
        <f t="shared" si="27"/>
        <v>0</v>
      </c>
    </row>
    <row r="34" spans="1:34" x14ac:dyDescent="0.25">
      <c r="A34" s="46" t="s">
        <v>189</v>
      </c>
      <c r="B34" s="90"/>
      <c r="C34" s="91">
        <v>0.1</v>
      </c>
      <c r="D34" s="85">
        <f t="shared" si="28"/>
        <v>0</v>
      </c>
      <c r="E34" s="122">
        <v>0</v>
      </c>
      <c r="F34" s="123">
        <f t="shared" si="29"/>
        <v>0</v>
      </c>
      <c r="G34" s="122">
        <v>0</v>
      </c>
      <c r="H34" s="123">
        <f t="shared" si="30"/>
        <v>0</v>
      </c>
      <c r="I34" s="122">
        <v>0</v>
      </c>
      <c r="J34" s="123">
        <f t="shared" si="31"/>
        <v>0</v>
      </c>
      <c r="K34" s="122">
        <v>0</v>
      </c>
      <c r="L34" s="123">
        <f t="shared" si="32"/>
        <v>0</v>
      </c>
      <c r="M34" s="122">
        <v>0</v>
      </c>
      <c r="N34" s="123">
        <f t="shared" si="33"/>
        <v>0</v>
      </c>
      <c r="O34" s="93">
        <f t="shared" si="19"/>
        <v>0</v>
      </c>
      <c r="P34" s="86">
        <v>0.01</v>
      </c>
      <c r="Q34" s="87">
        <f t="shared" si="20"/>
        <v>0</v>
      </c>
      <c r="R34" s="93">
        <f t="shared" si="34"/>
        <v>0</v>
      </c>
      <c r="S34" s="86">
        <v>0.1</v>
      </c>
      <c r="T34" s="87">
        <f t="shared" si="21"/>
        <v>0</v>
      </c>
      <c r="U34" s="86">
        <v>0.2</v>
      </c>
      <c r="V34" s="87">
        <f t="shared" si="22"/>
        <v>0</v>
      </c>
      <c r="W34" s="93">
        <f t="shared" si="35"/>
        <v>0</v>
      </c>
      <c r="X34" s="88">
        <v>0.05</v>
      </c>
      <c r="Y34" s="89">
        <f t="shared" si="23"/>
        <v>0</v>
      </c>
      <c r="Z34" s="88">
        <v>0.54</v>
      </c>
      <c r="AA34" s="89">
        <f t="shared" si="24"/>
        <v>0</v>
      </c>
      <c r="AB34" s="93">
        <f t="shared" si="36"/>
        <v>0</v>
      </c>
      <c r="AC34" s="88">
        <v>0</v>
      </c>
      <c r="AD34" s="89">
        <f t="shared" si="25"/>
        <v>0</v>
      </c>
      <c r="AE34" s="93">
        <f t="shared" si="37"/>
        <v>0</v>
      </c>
      <c r="AF34" s="81">
        <f t="shared" si="38"/>
        <v>0</v>
      </c>
      <c r="AG34" s="82">
        <f t="shared" si="26"/>
        <v>1</v>
      </c>
      <c r="AH34" s="159">
        <f t="shared" si="27"/>
        <v>0</v>
      </c>
    </row>
    <row r="35" spans="1:34" x14ac:dyDescent="0.25">
      <c r="A35" s="46" t="s">
        <v>190</v>
      </c>
      <c r="B35" s="90"/>
      <c r="C35" s="91">
        <v>0.1</v>
      </c>
      <c r="D35" s="85">
        <f t="shared" si="28"/>
        <v>0</v>
      </c>
      <c r="E35" s="122">
        <v>0</v>
      </c>
      <c r="F35" s="123">
        <f t="shared" si="29"/>
        <v>0</v>
      </c>
      <c r="G35" s="122">
        <v>0</v>
      </c>
      <c r="H35" s="123">
        <f t="shared" si="30"/>
        <v>0</v>
      </c>
      <c r="I35" s="122">
        <v>0</v>
      </c>
      <c r="J35" s="123">
        <f t="shared" si="31"/>
        <v>0</v>
      </c>
      <c r="K35" s="122">
        <v>0</v>
      </c>
      <c r="L35" s="123">
        <f t="shared" si="32"/>
        <v>0</v>
      </c>
      <c r="M35" s="122">
        <v>0</v>
      </c>
      <c r="N35" s="123">
        <f t="shared" si="33"/>
        <v>0</v>
      </c>
      <c r="O35" s="93">
        <f t="shared" si="19"/>
        <v>0</v>
      </c>
      <c r="P35" s="86">
        <v>0.01</v>
      </c>
      <c r="Q35" s="87">
        <f t="shared" si="20"/>
        <v>0</v>
      </c>
      <c r="R35" s="93">
        <f t="shared" si="34"/>
        <v>0</v>
      </c>
      <c r="S35" s="86">
        <v>0.1</v>
      </c>
      <c r="T35" s="87">
        <f t="shared" si="21"/>
        <v>0</v>
      </c>
      <c r="U35" s="86">
        <v>0.2</v>
      </c>
      <c r="V35" s="87">
        <f t="shared" si="22"/>
        <v>0</v>
      </c>
      <c r="W35" s="93">
        <f t="shared" si="35"/>
        <v>0</v>
      </c>
      <c r="X35" s="88">
        <v>0.05</v>
      </c>
      <c r="Y35" s="89">
        <f t="shared" si="23"/>
        <v>0</v>
      </c>
      <c r="Z35" s="88">
        <v>0.54</v>
      </c>
      <c r="AA35" s="89">
        <f t="shared" si="24"/>
        <v>0</v>
      </c>
      <c r="AB35" s="93">
        <f t="shared" si="36"/>
        <v>0</v>
      </c>
      <c r="AC35" s="88">
        <v>0</v>
      </c>
      <c r="AD35" s="89">
        <f t="shared" si="25"/>
        <v>0</v>
      </c>
      <c r="AE35" s="93">
        <f t="shared" si="37"/>
        <v>0</v>
      </c>
      <c r="AF35" s="81">
        <f t="shared" si="38"/>
        <v>0</v>
      </c>
      <c r="AG35" s="82">
        <f t="shared" si="26"/>
        <v>1</v>
      </c>
      <c r="AH35" s="159">
        <f t="shared" si="27"/>
        <v>0</v>
      </c>
    </row>
    <row r="36" spans="1:34" x14ac:dyDescent="0.25">
      <c r="A36" s="46" t="s">
        <v>6</v>
      </c>
      <c r="B36" s="90">
        <v>114084</v>
      </c>
      <c r="C36" s="91">
        <v>0.1</v>
      </c>
      <c r="D36" s="85">
        <f t="shared" si="28"/>
        <v>11408.400000000001</v>
      </c>
      <c r="E36" s="122">
        <v>0</v>
      </c>
      <c r="F36" s="123">
        <f t="shared" si="29"/>
        <v>0</v>
      </c>
      <c r="G36" s="122">
        <v>0</v>
      </c>
      <c r="H36" s="123">
        <f t="shared" si="30"/>
        <v>0</v>
      </c>
      <c r="I36" s="122">
        <v>0</v>
      </c>
      <c r="J36" s="123">
        <f t="shared" si="31"/>
        <v>0</v>
      </c>
      <c r="K36" s="122">
        <v>0</v>
      </c>
      <c r="L36" s="123">
        <f t="shared" si="32"/>
        <v>0</v>
      </c>
      <c r="M36" s="122">
        <v>0</v>
      </c>
      <c r="N36" s="123">
        <f t="shared" si="33"/>
        <v>0</v>
      </c>
      <c r="O36" s="93">
        <f t="shared" si="19"/>
        <v>0</v>
      </c>
      <c r="P36" s="86">
        <v>0</v>
      </c>
      <c r="Q36" s="87">
        <f t="shared" si="20"/>
        <v>0</v>
      </c>
      <c r="R36" s="93">
        <f t="shared" si="34"/>
        <v>0</v>
      </c>
      <c r="S36" s="86">
        <v>0</v>
      </c>
      <c r="T36" s="87">
        <f t="shared" si="21"/>
        <v>0</v>
      </c>
      <c r="U36" s="86">
        <v>0</v>
      </c>
      <c r="V36" s="87">
        <f t="shared" si="22"/>
        <v>0</v>
      </c>
      <c r="W36" s="93">
        <f t="shared" si="35"/>
        <v>0</v>
      </c>
      <c r="X36" s="88">
        <v>0</v>
      </c>
      <c r="Y36" s="89">
        <f t="shared" si="23"/>
        <v>0</v>
      </c>
      <c r="Z36" s="88">
        <v>0.2</v>
      </c>
      <c r="AA36" s="89">
        <f t="shared" si="24"/>
        <v>22816.800000000003</v>
      </c>
      <c r="AB36" s="93">
        <f t="shared" si="36"/>
        <v>22816.800000000003</v>
      </c>
      <c r="AC36" s="88">
        <v>0.7</v>
      </c>
      <c r="AD36" s="89">
        <f t="shared" si="25"/>
        <v>79858.799999999988</v>
      </c>
      <c r="AE36" s="93">
        <f t="shared" si="37"/>
        <v>79858.799999999988</v>
      </c>
      <c r="AF36" s="81">
        <f t="shared" si="38"/>
        <v>0</v>
      </c>
      <c r="AG36" s="82">
        <f t="shared" si="26"/>
        <v>1</v>
      </c>
      <c r="AH36" s="159">
        <f t="shared" si="27"/>
        <v>79858.799999999988</v>
      </c>
    </row>
    <row r="37" spans="1:34" x14ac:dyDescent="0.25">
      <c r="A37" s="46" t="s">
        <v>321</v>
      </c>
      <c r="B37" s="90"/>
      <c r="C37" s="91">
        <v>0</v>
      </c>
      <c r="D37" s="85">
        <f t="shared" si="28"/>
        <v>0</v>
      </c>
      <c r="E37" s="122">
        <v>0</v>
      </c>
      <c r="F37" s="123">
        <f t="shared" si="29"/>
        <v>0</v>
      </c>
      <c r="G37" s="122">
        <v>0</v>
      </c>
      <c r="H37" s="123">
        <f t="shared" si="30"/>
        <v>0</v>
      </c>
      <c r="I37" s="122">
        <v>0</v>
      </c>
      <c r="J37" s="123">
        <f t="shared" si="31"/>
        <v>0</v>
      </c>
      <c r="K37" s="122">
        <v>0</v>
      </c>
      <c r="L37" s="123">
        <f t="shared" si="32"/>
        <v>0</v>
      </c>
      <c r="M37" s="122">
        <v>0</v>
      </c>
      <c r="N37" s="123">
        <f t="shared" si="33"/>
        <v>0</v>
      </c>
      <c r="O37" s="93">
        <f t="shared" si="19"/>
        <v>0</v>
      </c>
      <c r="P37" s="86">
        <v>0</v>
      </c>
      <c r="Q37" s="87">
        <f t="shared" si="20"/>
        <v>0</v>
      </c>
      <c r="R37" s="93">
        <f t="shared" si="34"/>
        <v>0</v>
      </c>
      <c r="S37" s="86">
        <v>0</v>
      </c>
      <c r="T37" s="87">
        <f t="shared" si="21"/>
        <v>0</v>
      </c>
      <c r="U37" s="86">
        <v>0</v>
      </c>
      <c r="V37" s="87">
        <f t="shared" si="22"/>
        <v>0</v>
      </c>
      <c r="W37" s="93">
        <f t="shared" si="35"/>
        <v>0</v>
      </c>
      <c r="X37" s="88">
        <v>0</v>
      </c>
      <c r="Y37" s="89">
        <f t="shared" si="23"/>
        <v>0</v>
      </c>
      <c r="Z37" s="88">
        <v>0</v>
      </c>
      <c r="AA37" s="89">
        <f t="shared" si="24"/>
        <v>0</v>
      </c>
      <c r="AB37" s="93">
        <f t="shared" si="36"/>
        <v>0</v>
      </c>
      <c r="AC37" s="88">
        <v>1</v>
      </c>
      <c r="AD37" s="89">
        <f t="shared" si="25"/>
        <v>0</v>
      </c>
      <c r="AE37" s="93">
        <f t="shared" si="37"/>
        <v>0</v>
      </c>
      <c r="AF37" s="81">
        <f t="shared" si="38"/>
        <v>0</v>
      </c>
      <c r="AG37" s="82">
        <f t="shared" si="26"/>
        <v>1</v>
      </c>
      <c r="AH37" s="159">
        <f t="shared" si="27"/>
        <v>0</v>
      </c>
    </row>
    <row r="38" spans="1:34" x14ac:dyDescent="0.25">
      <c r="A38" s="46" t="s">
        <v>191</v>
      </c>
      <c r="B38" s="90">
        <v>386173</v>
      </c>
      <c r="C38" s="91">
        <v>0.1</v>
      </c>
      <c r="D38" s="85">
        <f t="shared" si="28"/>
        <v>38617.300000000003</v>
      </c>
      <c r="E38" s="122">
        <v>0</v>
      </c>
      <c r="F38" s="123">
        <f t="shared" si="29"/>
        <v>0</v>
      </c>
      <c r="G38" s="122">
        <v>0</v>
      </c>
      <c r="H38" s="123">
        <f t="shared" si="30"/>
        <v>0</v>
      </c>
      <c r="I38" s="122">
        <v>0</v>
      </c>
      <c r="J38" s="123">
        <f t="shared" si="31"/>
        <v>0</v>
      </c>
      <c r="K38" s="122">
        <v>0</v>
      </c>
      <c r="L38" s="123">
        <f t="shared" si="32"/>
        <v>0</v>
      </c>
      <c r="M38" s="122">
        <v>0</v>
      </c>
      <c r="N38" s="123">
        <f t="shared" si="33"/>
        <v>0</v>
      </c>
      <c r="O38" s="93">
        <f t="shared" si="19"/>
        <v>0</v>
      </c>
      <c r="P38" s="86">
        <v>0.01</v>
      </c>
      <c r="Q38" s="87">
        <f t="shared" si="20"/>
        <v>3861.73</v>
      </c>
      <c r="R38" s="93">
        <f t="shared" si="34"/>
        <v>3861.73</v>
      </c>
      <c r="S38" s="86">
        <v>0.05</v>
      </c>
      <c r="T38" s="87">
        <f t="shared" si="21"/>
        <v>19308.650000000001</v>
      </c>
      <c r="U38" s="86">
        <v>0.1</v>
      </c>
      <c r="V38" s="87">
        <f t="shared" si="22"/>
        <v>38617.300000000003</v>
      </c>
      <c r="W38" s="93">
        <f t="shared" si="35"/>
        <v>57925.950000000004</v>
      </c>
      <c r="X38" s="88">
        <v>0.02</v>
      </c>
      <c r="Y38" s="89">
        <f t="shared" si="23"/>
        <v>7723.46</v>
      </c>
      <c r="Z38" s="88">
        <v>0.4</v>
      </c>
      <c r="AA38" s="89">
        <f t="shared" si="24"/>
        <v>154469.20000000001</v>
      </c>
      <c r="AB38" s="93">
        <f t="shared" si="36"/>
        <v>162192.66</v>
      </c>
      <c r="AC38" s="88">
        <v>0.32</v>
      </c>
      <c r="AD38" s="89">
        <f t="shared" si="25"/>
        <v>123575.36</v>
      </c>
      <c r="AE38" s="93">
        <f t="shared" si="37"/>
        <v>123575.36</v>
      </c>
      <c r="AF38" s="81">
        <f t="shared" si="38"/>
        <v>0</v>
      </c>
      <c r="AG38" s="82">
        <f t="shared" si="26"/>
        <v>1</v>
      </c>
      <c r="AH38" s="159">
        <f t="shared" si="27"/>
        <v>181501.31</v>
      </c>
    </row>
    <row r="39" spans="1:34" x14ac:dyDescent="0.25">
      <c r="A39" s="46" t="s">
        <v>269</v>
      </c>
      <c r="B39" s="90">
        <f>65699+3170372</f>
        <v>3236071</v>
      </c>
      <c r="C39" s="91">
        <v>0</v>
      </c>
      <c r="D39" s="85">
        <f t="shared" si="28"/>
        <v>0</v>
      </c>
      <c r="E39" s="122">
        <v>0</v>
      </c>
      <c r="F39" s="123">
        <f t="shared" si="29"/>
        <v>0</v>
      </c>
      <c r="G39" s="122">
        <v>0</v>
      </c>
      <c r="H39" s="123">
        <f t="shared" si="30"/>
        <v>0</v>
      </c>
      <c r="I39" s="122">
        <v>0</v>
      </c>
      <c r="J39" s="123">
        <f t="shared" si="31"/>
        <v>0</v>
      </c>
      <c r="K39" s="122">
        <v>0</v>
      </c>
      <c r="L39" s="123">
        <f t="shared" si="32"/>
        <v>0</v>
      </c>
      <c r="M39" s="122">
        <v>0</v>
      </c>
      <c r="N39" s="123">
        <f t="shared" si="33"/>
        <v>0</v>
      </c>
      <c r="O39" s="93">
        <f t="shared" si="19"/>
        <v>0</v>
      </c>
      <c r="P39" s="86">
        <v>0</v>
      </c>
      <c r="Q39" s="87">
        <f t="shared" si="20"/>
        <v>0</v>
      </c>
      <c r="R39" s="93">
        <f t="shared" si="34"/>
        <v>0</v>
      </c>
      <c r="S39" s="86">
        <v>0</v>
      </c>
      <c r="T39" s="87">
        <f t="shared" si="21"/>
        <v>0</v>
      </c>
      <c r="U39" s="86">
        <v>1</v>
      </c>
      <c r="V39" s="87">
        <f t="shared" si="22"/>
        <v>3236071</v>
      </c>
      <c r="W39" s="93">
        <f t="shared" si="35"/>
        <v>3236071</v>
      </c>
      <c r="X39" s="88">
        <v>0</v>
      </c>
      <c r="Y39" s="89">
        <f t="shared" si="23"/>
        <v>0</v>
      </c>
      <c r="Z39" s="88">
        <v>0</v>
      </c>
      <c r="AA39" s="89">
        <f t="shared" si="24"/>
        <v>0</v>
      </c>
      <c r="AB39" s="93">
        <f t="shared" si="36"/>
        <v>0</v>
      </c>
      <c r="AC39" s="88">
        <v>0</v>
      </c>
      <c r="AD39" s="89">
        <f t="shared" si="25"/>
        <v>0</v>
      </c>
      <c r="AE39" s="93">
        <f t="shared" si="37"/>
        <v>0</v>
      </c>
      <c r="AF39" s="81">
        <f t="shared" si="38"/>
        <v>0</v>
      </c>
      <c r="AG39" s="82">
        <f t="shared" si="26"/>
        <v>1</v>
      </c>
      <c r="AH39" s="159">
        <f t="shared" si="27"/>
        <v>3236071</v>
      </c>
    </row>
    <row r="40" spans="1:34" x14ac:dyDescent="0.25">
      <c r="A40" s="46" t="s">
        <v>192</v>
      </c>
      <c r="B40" s="90">
        <f>206065+385857</f>
        <v>591922</v>
      </c>
      <c r="C40" s="91">
        <v>0.1</v>
      </c>
      <c r="D40" s="85">
        <f t="shared" si="28"/>
        <v>59192.200000000004</v>
      </c>
      <c r="E40" s="122">
        <v>0</v>
      </c>
      <c r="F40" s="123">
        <f t="shared" si="29"/>
        <v>0</v>
      </c>
      <c r="G40" s="122">
        <v>0</v>
      </c>
      <c r="H40" s="123">
        <f t="shared" si="30"/>
        <v>0</v>
      </c>
      <c r="I40" s="122">
        <v>0</v>
      </c>
      <c r="J40" s="123">
        <f t="shared" si="31"/>
        <v>0</v>
      </c>
      <c r="K40" s="122">
        <v>0</v>
      </c>
      <c r="L40" s="123">
        <f t="shared" si="32"/>
        <v>0</v>
      </c>
      <c r="M40" s="122">
        <v>0</v>
      </c>
      <c r="N40" s="123">
        <f t="shared" si="33"/>
        <v>0</v>
      </c>
      <c r="O40" s="93">
        <f t="shared" si="19"/>
        <v>0</v>
      </c>
      <c r="P40" s="86">
        <v>0.01</v>
      </c>
      <c r="Q40" s="87">
        <f t="shared" si="20"/>
        <v>5919.22</v>
      </c>
      <c r="R40" s="93">
        <f t="shared" si="34"/>
        <v>5919.22</v>
      </c>
      <c r="S40" s="86">
        <v>0.1</v>
      </c>
      <c r="T40" s="87">
        <f t="shared" si="21"/>
        <v>59192.200000000004</v>
      </c>
      <c r="U40" s="86">
        <v>0.1</v>
      </c>
      <c r="V40" s="87">
        <f t="shared" si="22"/>
        <v>59192.200000000004</v>
      </c>
      <c r="W40" s="93">
        <f t="shared" si="35"/>
        <v>118384.40000000001</v>
      </c>
      <c r="X40" s="88">
        <v>0.1</v>
      </c>
      <c r="Y40" s="89">
        <f t="shared" si="23"/>
        <v>59192.200000000004</v>
      </c>
      <c r="Z40" s="88">
        <v>0.59</v>
      </c>
      <c r="AA40" s="89">
        <f t="shared" si="24"/>
        <v>349233.98</v>
      </c>
      <c r="AB40" s="93">
        <f t="shared" si="36"/>
        <v>408426.18</v>
      </c>
      <c r="AC40" s="88">
        <v>0</v>
      </c>
      <c r="AD40" s="89">
        <f t="shared" si="25"/>
        <v>0</v>
      </c>
      <c r="AE40" s="93">
        <f t="shared" si="37"/>
        <v>0</v>
      </c>
      <c r="AF40" s="81">
        <f t="shared" si="38"/>
        <v>0</v>
      </c>
      <c r="AG40" s="82">
        <f t="shared" si="26"/>
        <v>1</v>
      </c>
      <c r="AH40" s="159">
        <f t="shared" si="27"/>
        <v>118384.40000000001</v>
      </c>
    </row>
    <row r="41" spans="1:34" x14ac:dyDescent="0.25">
      <c r="A41" s="46" t="s">
        <v>247</v>
      </c>
      <c r="B41" s="90">
        <f>119522+76640+13866</f>
        <v>210028</v>
      </c>
      <c r="C41" s="91">
        <v>0.1</v>
      </c>
      <c r="D41" s="85">
        <f t="shared" si="28"/>
        <v>21002.800000000003</v>
      </c>
      <c r="E41" s="122">
        <v>0</v>
      </c>
      <c r="F41" s="123">
        <f t="shared" si="29"/>
        <v>0</v>
      </c>
      <c r="G41" s="122">
        <v>0</v>
      </c>
      <c r="H41" s="123">
        <f t="shared" si="30"/>
        <v>0</v>
      </c>
      <c r="I41" s="122">
        <v>0</v>
      </c>
      <c r="J41" s="123">
        <f t="shared" si="31"/>
        <v>0</v>
      </c>
      <c r="K41" s="122">
        <v>0</v>
      </c>
      <c r="L41" s="123">
        <f t="shared" si="32"/>
        <v>0</v>
      </c>
      <c r="M41" s="122">
        <v>0</v>
      </c>
      <c r="N41" s="123">
        <f t="shared" si="33"/>
        <v>0</v>
      </c>
      <c r="O41" s="93">
        <f t="shared" si="19"/>
        <v>0</v>
      </c>
      <c r="P41" s="86">
        <v>0.01</v>
      </c>
      <c r="Q41" s="87">
        <f t="shared" si="20"/>
        <v>2100.2800000000002</v>
      </c>
      <c r="R41" s="93">
        <f t="shared" si="34"/>
        <v>2100.2800000000002</v>
      </c>
      <c r="S41" s="86">
        <v>0.1</v>
      </c>
      <c r="T41" s="87">
        <f t="shared" si="21"/>
        <v>21002.800000000003</v>
      </c>
      <c r="U41" s="86">
        <v>0.1</v>
      </c>
      <c r="V41" s="87">
        <f t="shared" si="22"/>
        <v>21002.800000000003</v>
      </c>
      <c r="W41" s="93">
        <f t="shared" si="35"/>
        <v>42005.600000000006</v>
      </c>
      <c r="X41" s="88">
        <v>0.1</v>
      </c>
      <c r="Y41" s="89">
        <f t="shared" si="23"/>
        <v>21002.800000000003</v>
      </c>
      <c r="Z41" s="88">
        <v>0.59</v>
      </c>
      <c r="AA41" s="89">
        <f t="shared" si="24"/>
        <v>123916.51999999999</v>
      </c>
      <c r="AB41" s="93">
        <f t="shared" si="36"/>
        <v>144919.32</v>
      </c>
      <c r="AC41" s="88">
        <v>0</v>
      </c>
      <c r="AD41" s="89">
        <f t="shared" si="25"/>
        <v>0</v>
      </c>
      <c r="AE41" s="93">
        <f t="shared" si="37"/>
        <v>0</v>
      </c>
      <c r="AF41" s="81">
        <f t="shared" si="38"/>
        <v>0</v>
      </c>
      <c r="AG41" s="82">
        <f t="shared" si="26"/>
        <v>1</v>
      </c>
      <c r="AH41" s="159">
        <f t="shared" si="27"/>
        <v>42005.600000000006</v>
      </c>
    </row>
    <row r="42" spans="1:34" x14ac:dyDescent="0.25">
      <c r="A42" s="46" t="s">
        <v>48</v>
      </c>
      <c r="B42" s="90">
        <f>16000+70000+45000+100000</f>
        <v>231000</v>
      </c>
      <c r="C42" s="91">
        <v>0.1</v>
      </c>
      <c r="D42" s="85">
        <f t="shared" si="28"/>
        <v>23100</v>
      </c>
      <c r="E42" s="122">
        <v>0</v>
      </c>
      <c r="F42" s="123">
        <f t="shared" si="29"/>
        <v>0</v>
      </c>
      <c r="G42" s="122">
        <v>0</v>
      </c>
      <c r="H42" s="123">
        <f t="shared" si="30"/>
        <v>0</v>
      </c>
      <c r="I42" s="122">
        <v>0</v>
      </c>
      <c r="J42" s="123">
        <f t="shared" si="31"/>
        <v>0</v>
      </c>
      <c r="K42" s="122">
        <v>0</v>
      </c>
      <c r="L42" s="123">
        <f t="shared" si="32"/>
        <v>0</v>
      </c>
      <c r="M42" s="122">
        <v>0</v>
      </c>
      <c r="N42" s="123">
        <f t="shared" si="33"/>
        <v>0</v>
      </c>
      <c r="O42" s="93">
        <f t="shared" si="19"/>
        <v>0</v>
      </c>
      <c r="P42" s="86">
        <v>0.01</v>
      </c>
      <c r="Q42" s="87">
        <f t="shared" si="20"/>
        <v>2310</v>
      </c>
      <c r="R42" s="93">
        <f t="shared" si="34"/>
        <v>2310</v>
      </c>
      <c r="S42" s="86">
        <v>0.1</v>
      </c>
      <c r="T42" s="87">
        <f t="shared" si="21"/>
        <v>23100</v>
      </c>
      <c r="U42" s="86">
        <v>0.1</v>
      </c>
      <c r="V42" s="87">
        <f t="shared" si="22"/>
        <v>23100</v>
      </c>
      <c r="W42" s="93">
        <f t="shared" si="35"/>
        <v>46200</v>
      </c>
      <c r="X42" s="88">
        <v>0.1</v>
      </c>
      <c r="Y42" s="89">
        <f t="shared" si="23"/>
        <v>23100</v>
      </c>
      <c r="Z42" s="88">
        <v>0.59</v>
      </c>
      <c r="AA42" s="89">
        <f t="shared" si="24"/>
        <v>136290</v>
      </c>
      <c r="AB42" s="93">
        <f t="shared" si="36"/>
        <v>159390</v>
      </c>
      <c r="AC42" s="88">
        <v>0</v>
      </c>
      <c r="AD42" s="89">
        <f t="shared" si="25"/>
        <v>0</v>
      </c>
      <c r="AE42" s="93">
        <f t="shared" si="37"/>
        <v>0</v>
      </c>
      <c r="AF42" s="81">
        <f t="shared" si="38"/>
        <v>0</v>
      </c>
      <c r="AG42" s="82">
        <f t="shared" si="26"/>
        <v>1</v>
      </c>
      <c r="AH42" s="159">
        <f t="shared" si="27"/>
        <v>46200</v>
      </c>
    </row>
    <row r="43" spans="1:34" x14ac:dyDescent="0.25">
      <c r="A43" s="46" t="s">
        <v>49</v>
      </c>
      <c r="B43" s="90">
        <v>4202</v>
      </c>
      <c r="C43" s="91">
        <v>0.1</v>
      </c>
      <c r="D43" s="85">
        <f t="shared" si="28"/>
        <v>420.20000000000005</v>
      </c>
      <c r="E43" s="122">
        <v>0</v>
      </c>
      <c r="F43" s="123">
        <f t="shared" si="29"/>
        <v>0</v>
      </c>
      <c r="G43" s="122">
        <v>0</v>
      </c>
      <c r="H43" s="123">
        <f t="shared" si="30"/>
        <v>0</v>
      </c>
      <c r="I43" s="122">
        <v>0</v>
      </c>
      <c r="J43" s="123">
        <f t="shared" si="31"/>
        <v>0</v>
      </c>
      <c r="K43" s="122">
        <v>0</v>
      </c>
      <c r="L43" s="123">
        <f t="shared" si="32"/>
        <v>0</v>
      </c>
      <c r="M43" s="122">
        <v>0</v>
      </c>
      <c r="N43" s="123">
        <f t="shared" si="33"/>
        <v>0</v>
      </c>
      <c r="O43" s="93">
        <f t="shared" si="19"/>
        <v>0</v>
      </c>
      <c r="P43" s="86">
        <v>0.01</v>
      </c>
      <c r="Q43" s="87">
        <f t="shared" si="20"/>
        <v>42.02</v>
      </c>
      <c r="R43" s="93">
        <f t="shared" si="34"/>
        <v>42.02</v>
      </c>
      <c r="S43" s="86">
        <v>0.1</v>
      </c>
      <c r="T43" s="87">
        <f t="shared" si="21"/>
        <v>420.20000000000005</v>
      </c>
      <c r="U43" s="86">
        <v>0.2</v>
      </c>
      <c r="V43" s="87">
        <f t="shared" si="22"/>
        <v>840.40000000000009</v>
      </c>
      <c r="W43" s="93">
        <f t="shared" si="35"/>
        <v>1260.6000000000001</v>
      </c>
      <c r="X43" s="88">
        <v>0.1</v>
      </c>
      <c r="Y43" s="89">
        <f t="shared" si="23"/>
        <v>420.20000000000005</v>
      </c>
      <c r="Z43" s="88">
        <v>0.49</v>
      </c>
      <c r="AA43" s="89">
        <f t="shared" si="24"/>
        <v>2058.98</v>
      </c>
      <c r="AB43" s="93">
        <f t="shared" si="36"/>
        <v>2479.1800000000003</v>
      </c>
      <c r="AC43" s="88">
        <v>0</v>
      </c>
      <c r="AD43" s="89">
        <f t="shared" si="25"/>
        <v>0</v>
      </c>
      <c r="AE43" s="93">
        <f t="shared" si="37"/>
        <v>0</v>
      </c>
      <c r="AF43" s="81">
        <f t="shared" si="38"/>
        <v>0</v>
      </c>
      <c r="AG43" s="82">
        <f t="shared" si="26"/>
        <v>1</v>
      </c>
      <c r="AH43" s="159">
        <f t="shared" si="27"/>
        <v>1260.6000000000001</v>
      </c>
    </row>
    <row r="44" spans="1:34" x14ac:dyDescent="0.25">
      <c r="A44" s="46" t="s">
        <v>193</v>
      </c>
      <c r="B44" s="90">
        <v>4005971</v>
      </c>
      <c r="C44" s="91">
        <v>0</v>
      </c>
      <c r="D44" s="85">
        <f t="shared" si="28"/>
        <v>0</v>
      </c>
      <c r="E44" s="122">
        <v>0</v>
      </c>
      <c r="F44" s="123">
        <f t="shared" si="29"/>
        <v>0</v>
      </c>
      <c r="G44" s="122">
        <v>0</v>
      </c>
      <c r="H44" s="123">
        <f t="shared" si="30"/>
        <v>0</v>
      </c>
      <c r="I44" s="122">
        <v>0</v>
      </c>
      <c r="J44" s="123">
        <f t="shared" si="31"/>
        <v>0</v>
      </c>
      <c r="K44" s="122">
        <v>0</v>
      </c>
      <c r="L44" s="123">
        <f t="shared" si="32"/>
        <v>0</v>
      </c>
      <c r="M44" s="122">
        <v>0</v>
      </c>
      <c r="N44" s="123">
        <f t="shared" si="33"/>
        <v>0</v>
      </c>
      <c r="O44" s="93">
        <f t="shared" si="19"/>
        <v>0</v>
      </c>
      <c r="P44" s="86">
        <v>0</v>
      </c>
      <c r="Q44" s="87">
        <f t="shared" si="20"/>
        <v>0</v>
      </c>
      <c r="R44" s="93">
        <f t="shared" si="34"/>
        <v>0</v>
      </c>
      <c r="S44" s="86">
        <v>0</v>
      </c>
      <c r="T44" s="87">
        <f t="shared" si="21"/>
        <v>0</v>
      </c>
      <c r="U44" s="86">
        <v>1</v>
      </c>
      <c r="V44" s="87">
        <f t="shared" si="22"/>
        <v>4005971</v>
      </c>
      <c r="W44" s="93">
        <f t="shared" si="35"/>
        <v>4005971</v>
      </c>
      <c r="X44" s="88">
        <v>0</v>
      </c>
      <c r="Y44" s="89">
        <f t="shared" si="23"/>
        <v>0</v>
      </c>
      <c r="Z44" s="88">
        <v>0</v>
      </c>
      <c r="AA44" s="89">
        <f t="shared" si="24"/>
        <v>0</v>
      </c>
      <c r="AB44" s="93">
        <f t="shared" si="36"/>
        <v>0</v>
      </c>
      <c r="AC44" s="88">
        <v>0</v>
      </c>
      <c r="AD44" s="89">
        <f t="shared" si="25"/>
        <v>0</v>
      </c>
      <c r="AE44" s="93">
        <f t="shared" si="37"/>
        <v>0</v>
      </c>
      <c r="AF44" s="81">
        <f t="shared" si="38"/>
        <v>0</v>
      </c>
      <c r="AG44" s="82">
        <f t="shared" si="26"/>
        <v>1</v>
      </c>
      <c r="AH44" s="159">
        <f t="shared" si="27"/>
        <v>4005971</v>
      </c>
    </row>
    <row r="45" spans="1:34" x14ac:dyDescent="0.25">
      <c r="A45" s="46" t="s">
        <v>213</v>
      </c>
      <c r="B45" s="90">
        <v>3960000</v>
      </c>
      <c r="C45" s="91">
        <v>0</v>
      </c>
      <c r="D45" s="85">
        <f t="shared" si="28"/>
        <v>0</v>
      </c>
      <c r="E45" s="122">
        <v>0</v>
      </c>
      <c r="F45" s="123">
        <f t="shared" si="29"/>
        <v>0</v>
      </c>
      <c r="G45" s="122">
        <v>0</v>
      </c>
      <c r="H45" s="123">
        <f t="shared" si="30"/>
        <v>0</v>
      </c>
      <c r="I45" s="122">
        <v>0</v>
      </c>
      <c r="J45" s="123">
        <f t="shared" si="31"/>
        <v>0</v>
      </c>
      <c r="K45" s="122">
        <v>0</v>
      </c>
      <c r="L45" s="123">
        <f t="shared" si="32"/>
        <v>0</v>
      </c>
      <c r="M45" s="122">
        <v>0</v>
      </c>
      <c r="N45" s="123">
        <f t="shared" si="33"/>
        <v>0</v>
      </c>
      <c r="O45" s="93">
        <f t="shared" si="19"/>
        <v>0</v>
      </c>
      <c r="P45" s="86">
        <v>1</v>
      </c>
      <c r="Q45" s="87">
        <f t="shared" si="20"/>
        <v>3960000</v>
      </c>
      <c r="R45" s="93">
        <f t="shared" si="34"/>
        <v>3960000</v>
      </c>
      <c r="S45" s="86">
        <v>0</v>
      </c>
      <c r="T45" s="87">
        <f t="shared" si="21"/>
        <v>0</v>
      </c>
      <c r="U45" s="86">
        <v>0</v>
      </c>
      <c r="V45" s="87">
        <f t="shared" si="22"/>
        <v>0</v>
      </c>
      <c r="W45" s="93">
        <f t="shared" si="35"/>
        <v>0</v>
      </c>
      <c r="X45" s="88">
        <v>0</v>
      </c>
      <c r="Y45" s="89">
        <f t="shared" si="23"/>
        <v>0</v>
      </c>
      <c r="Z45" s="88">
        <v>0</v>
      </c>
      <c r="AA45" s="89">
        <f t="shared" si="24"/>
        <v>0</v>
      </c>
      <c r="AB45" s="93">
        <f t="shared" si="36"/>
        <v>0</v>
      </c>
      <c r="AC45" s="88">
        <v>0</v>
      </c>
      <c r="AD45" s="89">
        <f t="shared" si="25"/>
        <v>0</v>
      </c>
      <c r="AE45" s="93">
        <f t="shared" si="37"/>
        <v>0</v>
      </c>
      <c r="AF45" s="81">
        <f t="shared" si="38"/>
        <v>0</v>
      </c>
      <c r="AG45" s="82">
        <f t="shared" si="26"/>
        <v>1</v>
      </c>
      <c r="AH45" s="159">
        <f t="shared" si="27"/>
        <v>0</v>
      </c>
    </row>
    <row r="46" spans="1:34" x14ac:dyDescent="0.25">
      <c r="A46" s="46" t="s">
        <v>264</v>
      </c>
      <c r="B46" s="90">
        <v>11291405</v>
      </c>
      <c r="C46" s="91">
        <v>0</v>
      </c>
      <c r="D46" s="85">
        <f t="shared" si="28"/>
        <v>0</v>
      </c>
      <c r="E46" s="122">
        <v>0</v>
      </c>
      <c r="F46" s="123">
        <f t="shared" si="29"/>
        <v>0</v>
      </c>
      <c r="G46" s="122">
        <v>0</v>
      </c>
      <c r="H46" s="123">
        <f t="shared" si="30"/>
        <v>0</v>
      </c>
      <c r="I46" s="122">
        <v>0</v>
      </c>
      <c r="J46" s="123">
        <f t="shared" si="31"/>
        <v>0</v>
      </c>
      <c r="K46" s="122">
        <v>0</v>
      </c>
      <c r="L46" s="123">
        <f t="shared" si="32"/>
        <v>0</v>
      </c>
      <c r="M46" s="122">
        <v>0</v>
      </c>
      <c r="N46" s="123">
        <f t="shared" si="33"/>
        <v>0</v>
      </c>
      <c r="O46" s="93">
        <f t="shared" si="19"/>
        <v>0</v>
      </c>
      <c r="P46" s="86">
        <v>1</v>
      </c>
      <c r="Q46" s="87">
        <f t="shared" si="20"/>
        <v>11291405</v>
      </c>
      <c r="R46" s="93">
        <f t="shared" si="34"/>
        <v>11291405</v>
      </c>
      <c r="S46" s="86">
        <v>0</v>
      </c>
      <c r="T46" s="87">
        <f t="shared" si="21"/>
        <v>0</v>
      </c>
      <c r="U46" s="86">
        <v>0</v>
      </c>
      <c r="V46" s="87">
        <f t="shared" si="22"/>
        <v>0</v>
      </c>
      <c r="W46" s="93">
        <f t="shared" si="35"/>
        <v>0</v>
      </c>
      <c r="X46" s="88">
        <v>0</v>
      </c>
      <c r="Y46" s="89">
        <f t="shared" si="23"/>
        <v>0</v>
      </c>
      <c r="Z46" s="88">
        <v>0</v>
      </c>
      <c r="AA46" s="89">
        <f t="shared" si="24"/>
        <v>0</v>
      </c>
      <c r="AB46" s="93">
        <f t="shared" si="36"/>
        <v>0</v>
      </c>
      <c r="AC46" s="88">
        <v>0</v>
      </c>
      <c r="AD46" s="89">
        <f t="shared" si="25"/>
        <v>0</v>
      </c>
      <c r="AE46" s="93">
        <f t="shared" si="37"/>
        <v>0</v>
      </c>
      <c r="AF46" s="81">
        <f t="shared" si="38"/>
        <v>0</v>
      </c>
      <c r="AG46" s="82">
        <f t="shared" si="26"/>
        <v>1</v>
      </c>
      <c r="AH46" s="159">
        <f t="shared" si="27"/>
        <v>0</v>
      </c>
    </row>
    <row r="47" spans="1:34" x14ac:dyDescent="0.25">
      <c r="A47" s="46" t="s">
        <v>278</v>
      </c>
      <c r="B47" s="90">
        <v>3086716</v>
      </c>
      <c r="C47" s="91">
        <v>0</v>
      </c>
      <c r="D47" s="85">
        <f t="shared" si="28"/>
        <v>0</v>
      </c>
      <c r="E47" s="122">
        <v>0</v>
      </c>
      <c r="F47" s="123">
        <f t="shared" si="29"/>
        <v>0</v>
      </c>
      <c r="G47" s="122">
        <v>0</v>
      </c>
      <c r="H47" s="123">
        <f t="shared" si="30"/>
        <v>0</v>
      </c>
      <c r="I47" s="122">
        <v>0</v>
      </c>
      <c r="J47" s="123">
        <f t="shared" si="31"/>
        <v>0</v>
      </c>
      <c r="K47" s="122">
        <v>1</v>
      </c>
      <c r="L47" s="123">
        <f t="shared" si="32"/>
        <v>3086716</v>
      </c>
      <c r="M47" s="122">
        <v>0</v>
      </c>
      <c r="N47" s="123">
        <f t="shared" si="33"/>
        <v>0</v>
      </c>
      <c r="O47" s="93">
        <f t="shared" si="19"/>
        <v>3086716</v>
      </c>
      <c r="P47" s="86">
        <v>0</v>
      </c>
      <c r="Q47" s="87">
        <f t="shared" si="20"/>
        <v>0</v>
      </c>
      <c r="R47" s="93">
        <f t="shared" si="34"/>
        <v>0</v>
      </c>
      <c r="S47" s="86">
        <v>0</v>
      </c>
      <c r="T47" s="87">
        <f t="shared" si="21"/>
        <v>0</v>
      </c>
      <c r="U47" s="86">
        <v>0</v>
      </c>
      <c r="V47" s="87">
        <f t="shared" si="22"/>
        <v>0</v>
      </c>
      <c r="W47" s="93">
        <f t="shared" si="35"/>
        <v>0</v>
      </c>
      <c r="X47" s="88">
        <v>0</v>
      </c>
      <c r="Y47" s="89">
        <f t="shared" si="23"/>
        <v>0</v>
      </c>
      <c r="Z47" s="88">
        <v>0</v>
      </c>
      <c r="AA47" s="89">
        <f t="shared" si="24"/>
        <v>0</v>
      </c>
      <c r="AB47" s="93">
        <f t="shared" si="36"/>
        <v>0</v>
      </c>
      <c r="AC47" s="88">
        <v>0</v>
      </c>
      <c r="AD47" s="89">
        <f t="shared" si="25"/>
        <v>0</v>
      </c>
      <c r="AE47" s="93">
        <f t="shared" si="37"/>
        <v>0</v>
      </c>
      <c r="AF47" s="81">
        <f t="shared" si="38"/>
        <v>0</v>
      </c>
      <c r="AG47" s="82">
        <f t="shared" si="26"/>
        <v>1</v>
      </c>
      <c r="AH47" s="159">
        <f t="shared" si="27"/>
        <v>3086716</v>
      </c>
    </row>
    <row r="48" spans="1:34" x14ac:dyDescent="0.25">
      <c r="A48" s="46" t="s">
        <v>279</v>
      </c>
      <c r="B48" s="90"/>
      <c r="C48" s="91">
        <v>0</v>
      </c>
      <c r="D48" s="85">
        <f t="shared" si="28"/>
        <v>0</v>
      </c>
      <c r="E48" s="122">
        <v>0</v>
      </c>
      <c r="F48" s="123">
        <f t="shared" si="29"/>
        <v>0</v>
      </c>
      <c r="G48" s="122">
        <v>0</v>
      </c>
      <c r="H48" s="123">
        <f t="shared" si="30"/>
        <v>0</v>
      </c>
      <c r="I48" s="122">
        <v>0</v>
      </c>
      <c r="J48" s="123">
        <f t="shared" si="31"/>
        <v>0</v>
      </c>
      <c r="K48" s="122">
        <v>0</v>
      </c>
      <c r="L48" s="123">
        <f t="shared" si="32"/>
        <v>0</v>
      </c>
      <c r="M48" s="122">
        <v>0</v>
      </c>
      <c r="N48" s="123">
        <f t="shared" si="33"/>
        <v>0</v>
      </c>
      <c r="O48" s="93">
        <f t="shared" si="19"/>
        <v>0</v>
      </c>
      <c r="P48" s="86">
        <v>0</v>
      </c>
      <c r="Q48" s="87">
        <f t="shared" si="20"/>
        <v>0</v>
      </c>
      <c r="R48" s="93">
        <f t="shared" si="34"/>
        <v>0</v>
      </c>
      <c r="S48" s="86">
        <v>0</v>
      </c>
      <c r="T48" s="87">
        <f t="shared" si="21"/>
        <v>0</v>
      </c>
      <c r="U48" s="86">
        <v>0</v>
      </c>
      <c r="V48" s="87">
        <f t="shared" si="22"/>
        <v>0</v>
      </c>
      <c r="W48" s="93">
        <f t="shared" si="35"/>
        <v>0</v>
      </c>
      <c r="X48" s="88">
        <v>0</v>
      </c>
      <c r="Y48" s="89">
        <v>0</v>
      </c>
      <c r="Z48" s="88">
        <v>0</v>
      </c>
      <c r="AA48" s="89">
        <f t="shared" si="24"/>
        <v>0</v>
      </c>
      <c r="AB48" s="93">
        <f t="shared" si="36"/>
        <v>0</v>
      </c>
      <c r="AC48" s="88">
        <v>1</v>
      </c>
      <c r="AD48" s="89">
        <f t="shared" si="25"/>
        <v>0</v>
      </c>
      <c r="AE48" s="93">
        <f t="shared" si="37"/>
        <v>0</v>
      </c>
      <c r="AF48" s="81">
        <f t="shared" si="38"/>
        <v>0</v>
      </c>
      <c r="AG48" s="82">
        <f t="shared" si="26"/>
        <v>1</v>
      </c>
      <c r="AH48" s="159">
        <f t="shared" si="27"/>
        <v>0</v>
      </c>
    </row>
    <row r="49" spans="1:34" x14ac:dyDescent="0.25">
      <c r="A49" s="46" t="s">
        <v>232</v>
      </c>
      <c r="B49" s="90">
        <v>3820000</v>
      </c>
      <c r="C49" s="91">
        <v>0</v>
      </c>
      <c r="D49" s="85">
        <f t="shared" si="28"/>
        <v>0</v>
      </c>
      <c r="E49" s="122">
        <v>0</v>
      </c>
      <c r="F49" s="123">
        <f t="shared" si="29"/>
        <v>0</v>
      </c>
      <c r="G49" s="122">
        <v>0</v>
      </c>
      <c r="H49" s="123">
        <f t="shared" si="30"/>
        <v>0</v>
      </c>
      <c r="I49" s="122">
        <v>0</v>
      </c>
      <c r="J49" s="123">
        <f t="shared" si="31"/>
        <v>0</v>
      </c>
      <c r="K49" s="122">
        <v>0</v>
      </c>
      <c r="L49" s="123">
        <f t="shared" si="32"/>
        <v>0</v>
      </c>
      <c r="M49" s="122">
        <v>0</v>
      </c>
      <c r="N49" s="123">
        <f t="shared" si="33"/>
        <v>0</v>
      </c>
      <c r="O49" s="93">
        <f t="shared" si="19"/>
        <v>0</v>
      </c>
      <c r="P49" s="86">
        <v>0</v>
      </c>
      <c r="Q49" s="87">
        <f t="shared" si="20"/>
        <v>0</v>
      </c>
      <c r="R49" s="93">
        <f t="shared" si="34"/>
        <v>0</v>
      </c>
      <c r="S49" s="86">
        <v>0</v>
      </c>
      <c r="T49" s="87">
        <f t="shared" si="21"/>
        <v>0</v>
      </c>
      <c r="U49" s="86">
        <v>0</v>
      </c>
      <c r="V49" s="87">
        <f t="shared" si="22"/>
        <v>0</v>
      </c>
      <c r="W49" s="93">
        <f t="shared" si="35"/>
        <v>0</v>
      </c>
      <c r="X49" s="88">
        <v>0</v>
      </c>
      <c r="Y49" s="89">
        <f>+X49*B49</f>
        <v>0</v>
      </c>
      <c r="Z49" s="88">
        <v>0.5</v>
      </c>
      <c r="AA49" s="89">
        <f t="shared" si="24"/>
        <v>1910000</v>
      </c>
      <c r="AB49" s="93">
        <f t="shared" si="36"/>
        <v>1910000</v>
      </c>
      <c r="AC49" s="88">
        <v>0.5</v>
      </c>
      <c r="AD49" s="89">
        <f t="shared" si="25"/>
        <v>1910000</v>
      </c>
      <c r="AE49" s="93">
        <f t="shared" si="37"/>
        <v>1910000</v>
      </c>
      <c r="AF49" s="81">
        <f t="shared" si="38"/>
        <v>0</v>
      </c>
      <c r="AG49" s="82">
        <f t="shared" si="26"/>
        <v>1</v>
      </c>
      <c r="AH49" s="159">
        <f t="shared" si="27"/>
        <v>1910000</v>
      </c>
    </row>
    <row r="50" spans="1:34" x14ac:dyDescent="0.25">
      <c r="A50" s="46" t="s">
        <v>70</v>
      </c>
      <c r="B50" s="90"/>
      <c r="C50" s="91">
        <v>0.1</v>
      </c>
      <c r="D50" s="85">
        <f t="shared" si="28"/>
        <v>0</v>
      </c>
      <c r="E50" s="122">
        <v>0</v>
      </c>
      <c r="F50" s="123">
        <f t="shared" si="29"/>
        <v>0</v>
      </c>
      <c r="G50" s="122">
        <v>0</v>
      </c>
      <c r="H50" s="123">
        <f t="shared" si="30"/>
        <v>0</v>
      </c>
      <c r="I50" s="122">
        <v>0</v>
      </c>
      <c r="J50" s="123">
        <f t="shared" si="31"/>
        <v>0</v>
      </c>
      <c r="K50" s="122">
        <v>0</v>
      </c>
      <c r="L50" s="123">
        <f t="shared" si="32"/>
        <v>0</v>
      </c>
      <c r="M50" s="122">
        <v>0</v>
      </c>
      <c r="N50" s="123">
        <f>+B50*M50</f>
        <v>0</v>
      </c>
      <c r="O50" s="93">
        <f t="shared" si="19"/>
        <v>0</v>
      </c>
      <c r="P50" s="86">
        <v>0.01</v>
      </c>
      <c r="Q50" s="87">
        <f t="shared" si="20"/>
        <v>0</v>
      </c>
      <c r="R50" s="93">
        <f t="shared" si="34"/>
        <v>0</v>
      </c>
      <c r="S50" s="86">
        <v>0.1</v>
      </c>
      <c r="T50" s="87">
        <f t="shared" si="21"/>
        <v>0</v>
      </c>
      <c r="U50" s="86">
        <v>0.2</v>
      </c>
      <c r="V50" s="87">
        <f t="shared" si="22"/>
        <v>0</v>
      </c>
      <c r="W50" s="93">
        <f t="shared" si="35"/>
        <v>0</v>
      </c>
      <c r="X50" s="88">
        <v>0.1</v>
      </c>
      <c r="Y50" s="89">
        <f>+X50*B50</f>
        <v>0</v>
      </c>
      <c r="Z50" s="88">
        <v>0.49</v>
      </c>
      <c r="AA50" s="89">
        <f t="shared" si="24"/>
        <v>0</v>
      </c>
      <c r="AB50" s="93">
        <f t="shared" si="36"/>
        <v>0</v>
      </c>
      <c r="AC50" s="88">
        <v>0</v>
      </c>
      <c r="AD50" s="89">
        <f t="shared" si="25"/>
        <v>0</v>
      </c>
      <c r="AE50" s="93">
        <f t="shared" si="37"/>
        <v>0</v>
      </c>
      <c r="AF50" s="81">
        <f t="shared" si="38"/>
        <v>0</v>
      </c>
      <c r="AG50" s="82">
        <f t="shared" si="26"/>
        <v>1</v>
      </c>
      <c r="AH50" s="159">
        <f t="shared" si="27"/>
        <v>0</v>
      </c>
    </row>
    <row r="51" spans="1:34" x14ac:dyDescent="0.25">
      <c r="A51" s="46" t="s">
        <v>181</v>
      </c>
      <c r="B51" s="92">
        <f>SUM(B16:B50)</f>
        <v>35670962</v>
      </c>
      <c r="C51" s="44"/>
      <c r="D51" s="93">
        <f>SUM(D16:D50)</f>
        <v>466278.10000000003</v>
      </c>
      <c r="E51" s="124"/>
      <c r="F51" s="125">
        <f>SUM(F16:F50)</f>
        <v>695347.45</v>
      </c>
      <c r="G51" s="124"/>
      <c r="H51" s="125">
        <f>SUM(H16:H50)</f>
        <v>687955.45</v>
      </c>
      <c r="I51" s="124"/>
      <c r="J51" s="125">
        <f>SUM(J16:J50)</f>
        <v>17344.54</v>
      </c>
      <c r="K51" s="125"/>
      <c r="L51" s="125">
        <f>SUM(L16:L50)</f>
        <v>3249352</v>
      </c>
      <c r="M51" s="125"/>
      <c r="N51" s="125">
        <f>SUM(N16:N50)</f>
        <v>70840.799999999988</v>
      </c>
      <c r="O51" s="93">
        <f>SUM(O16:O50)</f>
        <v>4720840.24</v>
      </c>
      <c r="P51" s="44"/>
      <c r="Q51" s="95">
        <f>SUM(Q16:Q50)</f>
        <v>15294336.85</v>
      </c>
      <c r="R51" s="93">
        <f>SUM(R16:R50)</f>
        <v>15294336.85</v>
      </c>
      <c r="S51" s="44"/>
      <c r="T51" s="95">
        <f>SUM(T16:T50)</f>
        <v>398604.35000000003</v>
      </c>
      <c r="U51" s="44"/>
      <c r="V51" s="95">
        <f>SUM(V16:V50)</f>
        <v>7654211.0999999996</v>
      </c>
      <c r="W51" s="93">
        <f>SUM(W16:W50)</f>
        <v>8052815.4500000002</v>
      </c>
      <c r="X51" s="44"/>
      <c r="Y51" s="94">
        <f>SUM(Y16:Y50)</f>
        <v>595085.15</v>
      </c>
      <c r="Z51" s="44"/>
      <c r="AA51" s="94">
        <f>SUM(AA16:AA50)</f>
        <v>3700269.6</v>
      </c>
      <c r="AB51" s="93">
        <f>SUM(AB16:AB50)</f>
        <v>4295354.75</v>
      </c>
      <c r="AC51" s="79"/>
      <c r="AD51" s="94">
        <f>SUM(AD16:AD50)</f>
        <v>2841336.61</v>
      </c>
      <c r="AE51" s="93">
        <f>SUM(AE16:AE50)</f>
        <v>2841336.61</v>
      </c>
      <c r="AF51" s="81"/>
      <c r="AG51" s="82">
        <f>+C51+E51+G51+I51+P51+S51+U51+X51+Z51+AC51</f>
        <v>0</v>
      </c>
      <c r="AH51" s="159">
        <f>SUM(AH16:AH50)</f>
        <v>15614992.300000001</v>
      </c>
    </row>
    <row r="54" spans="1:34" ht="30" x14ac:dyDescent="0.25">
      <c r="A54" s="71" t="s">
        <v>199</v>
      </c>
      <c r="B54" s="84" t="s">
        <v>180</v>
      </c>
      <c r="C54" s="74" t="s">
        <v>159</v>
      </c>
      <c r="D54" s="71" t="s">
        <v>176</v>
      </c>
      <c r="E54" s="106" t="s">
        <v>200</v>
      </c>
      <c r="F54" s="108" t="s">
        <v>176</v>
      </c>
      <c r="G54" s="80" t="s">
        <v>201</v>
      </c>
      <c r="H54" s="80" t="s">
        <v>202</v>
      </c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100"/>
      <c r="V54" s="100"/>
      <c r="W54" s="100"/>
      <c r="X54" s="99"/>
      <c r="Y54" s="99"/>
      <c r="Z54" s="100"/>
      <c r="AA54" s="100"/>
      <c r="AB54" s="100"/>
      <c r="AC54" s="100"/>
      <c r="AD54" s="100"/>
      <c r="AE54" s="100"/>
      <c r="AF54" s="101"/>
      <c r="AG54" s="101"/>
    </row>
    <row r="55" spans="1:34" x14ac:dyDescent="0.25">
      <c r="A55" s="46" t="s">
        <v>204</v>
      </c>
      <c r="B55" s="90">
        <v>4808320</v>
      </c>
      <c r="C55" s="91">
        <v>0.5</v>
      </c>
      <c r="D55" s="85">
        <f>+B55*C55</f>
        <v>2404160</v>
      </c>
      <c r="E55" s="107">
        <v>0.5</v>
      </c>
      <c r="F55" s="109">
        <f>+E55*B55</f>
        <v>2404160</v>
      </c>
      <c r="G55" s="110">
        <f>+C55+E55</f>
        <v>1</v>
      </c>
      <c r="H55" s="109">
        <f>+(F55+D55)-B55</f>
        <v>0</v>
      </c>
      <c r="I55" s="103"/>
      <c r="J55" s="102"/>
      <c r="K55" s="102"/>
      <c r="L55" s="102"/>
      <c r="M55" s="102"/>
      <c r="N55" s="102"/>
      <c r="O55" s="102"/>
      <c r="P55" s="103"/>
      <c r="Q55" s="102"/>
      <c r="R55" s="102"/>
      <c r="S55" s="103"/>
      <c r="T55" s="102"/>
      <c r="U55" s="103"/>
      <c r="V55" s="102"/>
      <c r="W55" s="102"/>
      <c r="X55" s="103"/>
      <c r="Y55" s="102"/>
      <c r="Z55" s="103"/>
      <c r="AA55" s="102"/>
      <c r="AB55" s="102"/>
      <c r="AC55" s="103"/>
      <c r="AD55" s="102"/>
      <c r="AE55" s="104"/>
      <c r="AF55" s="104"/>
      <c r="AG55" s="105"/>
    </row>
    <row r="56" spans="1:34" x14ac:dyDescent="0.25">
      <c r="A56" s="46" t="s">
        <v>205</v>
      </c>
      <c r="B56" s="90"/>
      <c r="C56" s="91">
        <v>0.5</v>
      </c>
      <c r="D56" s="85">
        <f t="shared" ref="D56:D62" si="39">+B56*C56</f>
        <v>0</v>
      </c>
      <c r="E56" s="107">
        <v>0.5</v>
      </c>
      <c r="F56" s="109">
        <f t="shared" ref="F56:F62" si="40">+E56*B56</f>
        <v>0</v>
      </c>
      <c r="G56" s="110">
        <f t="shared" ref="G56:G63" si="41">+C56+E56</f>
        <v>1</v>
      </c>
      <c r="H56" s="109">
        <f t="shared" ref="H56:H63" si="42">+(F56+D56)-B56</f>
        <v>0</v>
      </c>
      <c r="I56" s="103"/>
      <c r="J56" s="102"/>
      <c r="K56" s="102"/>
      <c r="L56" s="102"/>
      <c r="M56" s="102"/>
      <c r="N56" s="102"/>
      <c r="O56" s="102"/>
      <c r="P56" s="103"/>
      <c r="Q56" s="102"/>
      <c r="R56" s="102"/>
      <c r="S56" s="103"/>
      <c r="T56" s="102"/>
      <c r="U56" s="103"/>
      <c r="V56" s="102"/>
      <c r="W56" s="102"/>
      <c r="X56" s="103"/>
      <c r="Y56" s="102"/>
      <c r="Z56" s="103"/>
      <c r="AA56" s="102"/>
      <c r="AB56" s="102"/>
      <c r="AC56" s="103"/>
      <c r="AD56" s="102"/>
      <c r="AE56" s="104"/>
      <c r="AF56" s="104"/>
      <c r="AG56" s="105"/>
    </row>
    <row r="57" spans="1:34" x14ac:dyDescent="0.25">
      <c r="A57" s="46" t="s">
        <v>206</v>
      </c>
      <c r="B57" s="90">
        <v>2499000</v>
      </c>
      <c r="C57" s="91">
        <v>0.5</v>
      </c>
      <c r="D57" s="85">
        <f t="shared" si="39"/>
        <v>1249500</v>
      </c>
      <c r="E57" s="107">
        <v>0.5</v>
      </c>
      <c r="F57" s="109">
        <f t="shared" si="40"/>
        <v>1249500</v>
      </c>
      <c r="G57" s="110">
        <f t="shared" si="41"/>
        <v>1</v>
      </c>
      <c r="H57" s="109">
        <f t="shared" si="42"/>
        <v>0</v>
      </c>
      <c r="I57" s="103"/>
      <c r="J57" s="102"/>
      <c r="K57" s="102"/>
      <c r="L57" s="102"/>
      <c r="M57" s="102"/>
      <c r="N57" s="102"/>
      <c r="O57" s="102"/>
      <c r="P57" s="103"/>
      <c r="Q57" s="102"/>
      <c r="R57" s="102"/>
      <c r="S57" s="103"/>
      <c r="T57" s="102"/>
      <c r="U57" s="103"/>
      <c r="V57" s="102"/>
      <c r="W57" s="102"/>
      <c r="X57" s="103"/>
      <c r="Y57" s="102"/>
      <c r="Z57" s="103"/>
      <c r="AA57" s="102"/>
      <c r="AB57" s="102"/>
      <c r="AC57" s="103"/>
      <c r="AD57" s="102"/>
      <c r="AE57" s="104"/>
      <c r="AF57" s="104"/>
      <c r="AG57" s="105"/>
    </row>
    <row r="58" spans="1:34" x14ac:dyDescent="0.25">
      <c r="A58" s="46" t="s">
        <v>209</v>
      </c>
      <c r="B58" s="90">
        <f>1310000+220400</f>
        <v>1530400</v>
      </c>
      <c r="C58" s="91">
        <v>0.5</v>
      </c>
      <c r="D58" s="85">
        <f t="shared" si="39"/>
        <v>765200</v>
      </c>
      <c r="E58" s="107">
        <v>0.5</v>
      </c>
      <c r="F58" s="109">
        <f t="shared" si="40"/>
        <v>765200</v>
      </c>
      <c r="G58" s="110">
        <f t="shared" si="41"/>
        <v>1</v>
      </c>
      <c r="H58" s="109">
        <f t="shared" si="42"/>
        <v>0</v>
      </c>
      <c r="I58" s="103"/>
      <c r="J58" s="102"/>
      <c r="K58" s="102"/>
      <c r="L58" s="102"/>
      <c r="M58" s="102"/>
      <c r="N58" s="102"/>
      <c r="O58" s="102"/>
      <c r="P58" s="103"/>
      <c r="Q58" s="102"/>
      <c r="R58" s="102"/>
      <c r="S58" s="103"/>
      <c r="T58" s="102"/>
      <c r="U58" s="103"/>
      <c r="V58" s="102"/>
      <c r="W58" s="102"/>
      <c r="X58" s="103"/>
      <c r="Y58" s="102"/>
      <c r="Z58" s="103"/>
      <c r="AA58" s="102"/>
      <c r="AB58" s="102"/>
      <c r="AC58" s="103"/>
      <c r="AD58" s="102"/>
      <c r="AE58" s="104"/>
      <c r="AF58" s="104"/>
      <c r="AG58" s="105"/>
    </row>
    <row r="59" spans="1:34" x14ac:dyDescent="0.25">
      <c r="A59" s="46" t="s">
        <v>210</v>
      </c>
      <c r="B59" s="90">
        <v>256000</v>
      </c>
      <c r="C59" s="91">
        <v>0.5</v>
      </c>
      <c r="D59" s="85">
        <f t="shared" si="39"/>
        <v>128000</v>
      </c>
      <c r="E59" s="107">
        <v>0.5</v>
      </c>
      <c r="F59" s="109">
        <f t="shared" si="40"/>
        <v>128000</v>
      </c>
      <c r="G59" s="110">
        <f t="shared" si="41"/>
        <v>1</v>
      </c>
      <c r="H59" s="109">
        <f t="shared" si="42"/>
        <v>0</v>
      </c>
      <c r="I59" s="103"/>
      <c r="J59" s="102"/>
      <c r="K59" s="102"/>
      <c r="L59" s="102"/>
      <c r="M59" s="102"/>
      <c r="N59" s="102"/>
      <c r="O59" s="102"/>
      <c r="P59" s="103"/>
      <c r="Q59" s="102"/>
      <c r="R59" s="102"/>
      <c r="S59" s="103"/>
      <c r="T59" s="102"/>
      <c r="U59" s="103"/>
      <c r="V59" s="102"/>
      <c r="W59" s="102"/>
      <c r="X59" s="103"/>
      <c r="Y59" s="102"/>
      <c r="Z59" s="103"/>
      <c r="AA59" s="102"/>
      <c r="AB59" s="102"/>
      <c r="AC59" s="103"/>
      <c r="AD59" s="102"/>
      <c r="AE59" s="104"/>
      <c r="AF59" s="104"/>
      <c r="AG59" s="105"/>
    </row>
    <row r="60" spans="1:34" x14ac:dyDescent="0.25">
      <c r="A60" s="46" t="s">
        <v>207</v>
      </c>
      <c r="B60" s="90"/>
      <c r="C60" s="91">
        <v>0.5</v>
      </c>
      <c r="D60" s="85">
        <f t="shared" si="39"/>
        <v>0</v>
      </c>
      <c r="E60" s="107">
        <v>0.5</v>
      </c>
      <c r="F60" s="109">
        <f t="shared" si="40"/>
        <v>0</v>
      </c>
      <c r="G60" s="110">
        <f t="shared" si="41"/>
        <v>1</v>
      </c>
      <c r="H60" s="109">
        <f t="shared" si="42"/>
        <v>0</v>
      </c>
      <c r="I60" s="103"/>
      <c r="J60" s="102"/>
      <c r="K60" s="102"/>
      <c r="L60" s="102"/>
      <c r="M60" s="102"/>
      <c r="N60" s="102"/>
      <c r="O60" s="102"/>
      <c r="P60" s="103"/>
      <c r="Q60" s="102"/>
      <c r="R60" s="102"/>
      <c r="S60" s="103"/>
      <c r="T60" s="102"/>
      <c r="U60" s="103"/>
      <c r="V60" s="102"/>
      <c r="W60" s="102"/>
      <c r="X60" s="103"/>
      <c r="Y60" s="102"/>
      <c r="Z60" s="103"/>
      <c r="AA60" s="102"/>
      <c r="AB60" s="102"/>
      <c r="AC60" s="103"/>
      <c r="AD60" s="102"/>
      <c r="AE60" s="104"/>
      <c r="AF60" s="104"/>
      <c r="AG60" s="105"/>
    </row>
    <row r="61" spans="1:34" x14ac:dyDescent="0.25">
      <c r="A61" s="46" t="s">
        <v>208</v>
      </c>
      <c r="B61" s="90"/>
      <c r="C61" s="91">
        <v>0.5</v>
      </c>
      <c r="D61" s="85">
        <f t="shared" si="39"/>
        <v>0</v>
      </c>
      <c r="E61" s="107">
        <v>0.5</v>
      </c>
      <c r="F61" s="109">
        <f t="shared" si="40"/>
        <v>0</v>
      </c>
      <c r="G61" s="110">
        <f t="shared" si="41"/>
        <v>1</v>
      </c>
      <c r="H61" s="109">
        <f t="shared" si="42"/>
        <v>0</v>
      </c>
      <c r="I61" s="103"/>
      <c r="J61" s="102"/>
      <c r="K61" s="102"/>
      <c r="L61" s="102"/>
      <c r="M61" s="102"/>
      <c r="N61" s="102"/>
      <c r="O61" s="102"/>
      <c r="P61" s="103"/>
      <c r="Q61" s="102"/>
      <c r="R61" s="102"/>
      <c r="S61" s="103"/>
      <c r="T61" s="102"/>
      <c r="U61" s="103"/>
      <c r="V61" s="102"/>
      <c r="W61" s="102"/>
      <c r="X61" s="103"/>
      <c r="Y61" s="102"/>
      <c r="Z61" s="103"/>
      <c r="AA61" s="102"/>
      <c r="AB61" s="102"/>
      <c r="AC61" s="103"/>
      <c r="AD61" s="102"/>
      <c r="AE61" s="104"/>
      <c r="AF61" s="104"/>
      <c r="AG61" s="105"/>
    </row>
    <row r="62" spans="1:34" x14ac:dyDescent="0.25">
      <c r="A62" s="46" t="s">
        <v>70</v>
      </c>
      <c r="B62" s="90">
        <v>1685500</v>
      </c>
      <c r="C62" s="91">
        <v>0.5</v>
      </c>
      <c r="D62" s="85">
        <f t="shared" si="39"/>
        <v>842750</v>
      </c>
      <c r="E62" s="107">
        <v>0.5</v>
      </c>
      <c r="F62" s="109">
        <f t="shared" si="40"/>
        <v>842750</v>
      </c>
      <c r="G62" s="110">
        <f t="shared" si="41"/>
        <v>1</v>
      </c>
      <c r="H62" s="109">
        <f t="shared" si="42"/>
        <v>0</v>
      </c>
      <c r="I62" s="103"/>
      <c r="J62" s="102"/>
      <c r="K62" s="102"/>
      <c r="L62" s="102"/>
      <c r="M62" s="102"/>
      <c r="N62" s="102"/>
      <c r="O62" s="102"/>
      <c r="P62" s="103"/>
      <c r="Q62" s="102"/>
      <c r="R62" s="102"/>
      <c r="S62" s="103"/>
      <c r="T62" s="102"/>
      <c r="U62" s="103"/>
      <c r="V62" s="102"/>
      <c r="W62" s="102"/>
      <c r="X62" s="103"/>
      <c r="Y62" s="102"/>
      <c r="Z62" s="103"/>
      <c r="AA62" s="102"/>
      <c r="AB62" s="102"/>
      <c r="AC62" s="103"/>
      <c r="AD62" s="102"/>
      <c r="AE62" s="104"/>
      <c r="AF62" s="104"/>
      <c r="AG62" s="105"/>
    </row>
    <row r="63" spans="1:34" x14ac:dyDescent="0.25">
      <c r="A63" s="115" t="s">
        <v>203</v>
      </c>
      <c r="B63" s="111">
        <f>SUM(B55:B62)</f>
        <v>10779220</v>
      </c>
      <c r="C63" s="91"/>
      <c r="D63" s="93">
        <f>SUM(D55:D62)</f>
        <v>5389610</v>
      </c>
      <c r="E63" s="107"/>
      <c r="F63" s="112">
        <f>SUM(F55:F62)</f>
        <v>5389610</v>
      </c>
      <c r="G63" s="110">
        <f t="shared" si="41"/>
        <v>0</v>
      </c>
      <c r="H63" s="109">
        <f t="shared" si="42"/>
        <v>0</v>
      </c>
      <c r="I63" s="103"/>
      <c r="J63" s="102"/>
      <c r="K63" s="102"/>
      <c r="L63" s="102"/>
      <c r="M63" s="102"/>
      <c r="N63" s="102"/>
      <c r="O63" s="102"/>
      <c r="P63" s="103"/>
      <c r="Q63" s="102"/>
      <c r="R63" s="102"/>
      <c r="S63" s="103"/>
      <c r="T63" s="102"/>
      <c r="U63" s="103"/>
      <c r="V63" s="102"/>
      <c r="W63" s="102"/>
      <c r="X63" s="103"/>
      <c r="Y63" s="102"/>
      <c r="Z63" s="103"/>
      <c r="AA63" s="102"/>
      <c r="AB63" s="102"/>
      <c r="AC63" s="103"/>
      <c r="AD63" s="102"/>
      <c r="AE63" s="104"/>
      <c r="AF63" s="104"/>
      <c r="AG63" s="105"/>
    </row>
    <row r="65" spans="1:5" x14ac:dyDescent="0.25">
      <c r="A65" s="116" t="s">
        <v>211</v>
      </c>
      <c r="B65" s="117">
        <f>+B12+B51+B63</f>
        <v>73303410.167999998</v>
      </c>
    </row>
    <row r="67" spans="1:5" x14ac:dyDescent="0.25">
      <c r="A67" s="116" t="s">
        <v>327</v>
      </c>
    </row>
    <row r="68" spans="1:5" x14ac:dyDescent="0.25">
      <c r="A68" s="51" t="s">
        <v>10</v>
      </c>
      <c r="B68" s="52">
        <f>+D12+D51</f>
        <v>6727015.8487999998</v>
      </c>
    </row>
    <row r="69" spans="1:5" x14ac:dyDescent="0.25">
      <c r="A69" s="51" t="s">
        <v>228</v>
      </c>
      <c r="B69" s="52">
        <f>+O12+O51</f>
        <v>19208741.640000001</v>
      </c>
    </row>
    <row r="70" spans="1:5" x14ac:dyDescent="0.25">
      <c r="A70" s="51" t="s">
        <v>322</v>
      </c>
      <c r="B70" s="52">
        <f>+Q12+Q51</f>
        <v>15344544.065679999</v>
      </c>
    </row>
    <row r="71" spans="1:5" x14ac:dyDescent="0.25">
      <c r="A71" s="51" t="s">
        <v>323</v>
      </c>
      <c r="B71" s="52">
        <f>+T12+T51</f>
        <v>732898.78136000002</v>
      </c>
    </row>
    <row r="72" spans="1:5" x14ac:dyDescent="0.25">
      <c r="A72" s="51" t="s">
        <v>324</v>
      </c>
      <c r="B72" s="52">
        <f>+V12+V51</f>
        <v>8641447.1783999987</v>
      </c>
    </row>
    <row r="73" spans="1:5" x14ac:dyDescent="0.25">
      <c r="A73" s="51" t="s">
        <v>325</v>
      </c>
      <c r="B73" s="52">
        <f>+AB12+AE12+AB51+AE51</f>
        <v>11869542.653759999</v>
      </c>
    </row>
    <row r="74" spans="1:5" x14ac:dyDescent="0.25">
      <c r="A74" s="51" t="s">
        <v>346</v>
      </c>
      <c r="B74" s="52">
        <f>+B63</f>
        <v>10779220</v>
      </c>
    </row>
    <row r="75" spans="1:5" x14ac:dyDescent="0.25">
      <c r="A75" s="116" t="s">
        <v>211</v>
      </c>
      <c r="B75" s="117">
        <f>SUM(B68:B74)</f>
        <v>73303410.167999998</v>
      </c>
    </row>
    <row r="76" spans="1:5" hidden="1" x14ac:dyDescent="0.25">
      <c r="A76" s="113" t="s">
        <v>196</v>
      </c>
      <c r="B76" s="114">
        <f>+B65-B75</f>
        <v>0</v>
      </c>
    </row>
    <row r="78" spans="1:5" x14ac:dyDescent="0.25">
      <c r="B78" s="162"/>
    </row>
    <row r="79" spans="1:5" x14ac:dyDescent="0.25">
      <c r="B79" s="162"/>
    </row>
    <row r="80" spans="1:5" x14ac:dyDescent="0.25">
      <c r="E80" s="162"/>
    </row>
  </sheetData>
  <mergeCells count="14">
    <mergeCell ref="AF2:AG2"/>
    <mergeCell ref="E3:F3"/>
    <mergeCell ref="G3:H3"/>
    <mergeCell ref="I3:J3"/>
    <mergeCell ref="P3:Q3"/>
    <mergeCell ref="S3:T3"/>
    <mergeCell ref="K3:L3"/>
    <mergeCell ref="M3:N3"/>
    <mergeCell ref="A1:AA1"/>
    <mergeCell ref="A2:B2"/>
    <mergeCell ref="C2:D2"/>
    <mergeCell ref="E2:O2"/>
    <mergeCell ref="P2:W2"/>
    <mergeCell ref="X2:AE2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C74A2-B8B9-412B-A090-A750910FF0C0}">
  <dimension ref="A1:AI80"/>
  <sheetViews>
    <sheetView topLeftCell="A4" workbookViewId="0">
      <selection activeCell="A12" sqref="A1:XFD1048576"/>
    </sheetView>
  </sheetViews>
  <sheetFormatPr baseColWidth="10" defaultRowHeight="15" x14ac:dyDescent="0.25"/>
  <cols>
    <col min="1" max="1" width="44.42578125" customWidth="1"/>
    <col min="2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4" width="11.28515625" customWidth="1"/>
    <col min="15" max="15" width="13.42578125" customWidth="1"/>
    <col min="16" max="16" width="11" customWidth="1"/>
    <col min="17" max="18" width="14.7109375" customWidth="1"/>
    <col min="19" max="19" width="9.85546875" customWidth="1"/>
    <col min="20" max="20" width="10.85546875" customWidth="1"/>
    <col min="21" max="21" width="17.7109375" customWidth="1"/>
    <col min="22" max="22" width="10.7109375" customWidth="1"/>
    <col min="23" max="23" width="15.5703125" customWidth="1"/>
    <col min="24" max="24" width="14.140625" customWidth="1"/>
    <col min="26" max="26" width="13.7109375" customWidth="1"/>
    <col min="28" max="28" width="15.42578125" customWidth="1"/>
    <col min="29" max="29" width="12.85546875" customWidth="1"/>
    <col min="30" max="30" width="12.28515625" customWidth="1"/>
    <col min="31" max="31" width="15.140625" customWidth="1"/>
  </cols>
  <sheetData>
    <row r="1" spans="1:35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340"/>
      <c r="Y1" s="340"/>
      <c r="Z1" s="340"/>
      <c r="AA1" s="340"/>
      <c r="AB1" s="96"/>
      <c r="AC1" s="96"/>
      <c r="AD1" s="96"/>
      <c r="AE1" s="96"/>
    </row>
    <row r="2" spans="1:35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6"/>
      <c r="L2" s="336"/>
      <c r="M2" s="336"/>
      <c r="N2" s="336"/>
      <c r="O2" s="332"/>
      <c r="P2" s="337" t="s">
        <v>174</v>
      </c>
      <c r="Q2" s="338"/>
      <c r="R2" s="338"/>
      <c r="S2" s="338"/>
      <c r="T2" s="338"/>
      <c r="U2" s="338"/>
      <c r="V2" s="338"/>
      <c r="W2" s="339"/>
      <c r="X2" s="335" t="s">
        <v>195</v>
      </c>
      <c r="Y2" s="335"/>
      <c r="Z2" s="335"/>
      <c r="AA2" s="335"/>
      <c r="AB2" s="335"/>
      <c r="AC2" s="335"/>
      <c r="AD2" s="335"/>
      <c r="AE2" s="335"/>
      <c r="AF2" s="335" t="s">
        <v>196</v>
      </c>
      <c r="AG2" s="335"/>
    </row>
    <row r="3" spans="1:35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331" t="s">
        <v>95</v>
      </c>
      <c r="L3" s="336"/>
      <c r="M3" s="345" t="s">
        <v>96</v>
      </c>
      <c r="N3" s="345"/>
      <c r="O3" s="325" t="s">
        <v>341</v>
      </c>
      <c r="P3" s="333" t="s">
        <v>97</v>
      </c>
      <c r="Q3" s="334"/>
      <c r="R3" s="126" t="s">
        <v>97</v>
      </c>
      <c r="S3" s="333" t="s">
        <v>98</v>
      </c>
      <c r="T3" s="334"/>
      <c r="U3" s="72" t="s">
        <v>98</v>
      </c>
      <c r="V3" s="72"/>
      <c r="W3" s="69" t="s">
        <v>342</v>
      </c>
      <c r="X3" s="72" t="s">
        <v>99</v>
      </c>
      <c r="Y3" s="72"/>
      <c r="Z3" s="72" t="s">
        <v>100</v>
      </c>
      <c r="AA3" s="72"/>
      <c r="AB3" s="69" t="s">
        <v>343</v>
      </c>
      <c r="AC3" s="72" t="s">
        <v>344</v>
      </c>
      <c r="AD3" s="72"/>
      <c r="AE3" s="69" t="s">
        <v>344</v>
      </c>
      <c r="AF3" s="97"/>
      <c r="AG3" s="97"/>
    </row>
    <row r="4" spans="1:35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121" t="s">
        <v>340</v>
      </c>
      <c r="L4" s="121" t="s">
        <v>176</v>
      </c>
      <c r="M4" s="120" t="s">
        <v>345</v>
      </c>
      <c r="N4" s="121" t="s">
        <v>176</v>
      </c>
      <c r="O4" s="71" t="s">
        <v>223</v>
      </c>
      <c r="P4" s="75" t="s">
        <v>161</v>
      </c>
      <c r="Q4" s="75" t="s">
        <v>176</v>
      </c>
      <c r="R4" s="71" t="s">
        <v>300</v>
      </c>
      <c r="S4" s="75" t="s">
        <v>162</v>
      </c>
      <c r="T4" s="75" t="s">
        <v>176</v>
      </c>
      <c r="U4" s="76" t="s">
        <v>163</v>
      </c>
      <c r="V4" s="76" t="s">
        <v>176</v>
      </c>
      <c r="W4" s="71" t="s">
        <v>171</v>
      </c>
      <c r="X4" s="77" t="s">
        <v>164</v>
      </c>
      <c r="Y4" s="77" t="s">
        <v>176</v>
      </c>
      <c r="Z4" s="78" t="s">
        <v>165</v>
      </c>
      <c r="AA4" s="78" t="s">
        <v>176</v>
      </c>
      <c r="AB4" s="71" t="s">
        <v>301</v>
      </c>
      <c r="AC4" s="78" t="s">
        <v>194</v>
      </c>
      <c r="AD4" s="78" t="s">
        <v>176</v>
      </c>
      <c r="AE4" s="71" t="s">
        <v>172</v>
      </c>
      <c r="AF4" s="98" t="s">
        <v>178</v>
      </c>
      <c r="AG4" s="98" t="s">
        <v>179</v>
      </c>
    </row>
    <row r="5" spans="1:35" x14ac:dyDescent="0.25">
      <c r="A5" s="46" t="s">
        <v>67</v>
      </c>
      <c r="B5" s="90">
        <f>+' NOMINAS ENE-DIC'!I259+' NOMINAS ENE-DIC'!I269+' NOMINAS ENE-DIC'!I275</f>
        <v>5266921.568</v>
      </c>
      <c r="C5" s="91">
        <f>+'%'!B4</f>
        <v>0.35</v>
      </c>
      <c r="D5" s="93">
        <f t="shared" ref="D5:D11" si="0">+B5*C5</f>
        <v>1843422.5487999998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122">
        <v>0</v>
      </c>
      <c r="L5" s="123">
        <f t="shared" ref="L5:L11" si="4">+B5*K5</f>
        <v>0</v>
      </c>
      <c r="M5" s="122">
        <v>0</v>
      </c>
      <c r="N5" s="123">
        <f>+B5*M5</f>
        <v>0</v>
      </c>
      <c r="O5" s="93">
        <f>+N5+L5+J5+H5+F5</f>
        <v>0</v>
      </c>
      <c r="P5" s="86">
        <f>+'%'!F4</f>
        <v>0.01</v>
      </c>
      <c r="Q5" s="87">
        <f t="shared" ref="Q5:Q11" si="5">+P5*B5</f>
        <v>52669.215680000001</v>
      </c>
      <c r="R5" s="93">
        <f>+Q5</f>
        <v>52669.215680000001</v>
      </c>
      <c r="S5" s="86">
        <f>+'%'!G4</f>
        <v>0.02</v>
      </c>
      <c r="T5" s="87">
        <f t="shared" ref="T5:T11" si="6">+S5*B5</f>
        <v>105338.43136</v>
      </c>
      <c r="U5" s="86">
        <f>+'%'!H4</f>
        <v>0.05</v>
      </c>
      <c r="V5" s="87">
        <f t="shared" ref="V5:V11" si="7">+U5*B5</f>
        <v>263346.0784</v>
      </c>
      <c r="W5" s="93">
        <f>+T5+V5</f>
        <v>368684.50975999999</v>
      </c>
      <c r="X5" s="88">
        <f>+'%'!I4</f>
        <v>0.2</v>
      </c>
      <c r="Y5" s="89">
        <f>+X5*B5</f>
        <v>1053384.3136</v>
      </c>
      <c r="Z5" s="88">
        <f>+'%'!J4</f>
        <v>0.27</v>
      </c>
      <c r="AA5" s="89">
        <f t="shared" ref="AA5:AA11" si="8">+Z5*B5</f>
        <v>1422068.82336</v>
      </c>
      <c r="AB5" s="93">
        <f>+Y5+AA5</f>
        <v>2475453.1369599998</v>
      </c>
      <c r="AC5" s="88">
        <f>+'%'!K4</f>
        <v>0.1</v>
      </c>
      <c r="AD5" s="89">
        <f t="shared" ref="AD5:AD11" si="9">+AC5*B5</f>
        <v>526692.1568</v>
      </c>
      <c r="AE5" s="93">
        <f>+AD5</f>
        <v>526692.1568</v>
      </c>
      <c r="AF5" s="81">
        <f t="shared" ref="AF5:AF12" si="10">+(D5+O5+R5+W5+AB5+AE5)-B5</f>
        <v>0</v>
      </c>
      <c r="AG5" s="82">
        <f>+C5+E5+G5+I5+K5+M5+P5+S5+U5+X5+Z5+AC5</f>
        <v>1</v>
      </c>
      <c r="AI5" s="162"/>
    </row>
    <row r="6" spans="1:35" x14ac:dyDescent="0.25">
      <c r="A6" s="46" t="s">
        <v>74</v>
      </c>
      <c r="B6" s="90">
        <f>+' NOMINAS ENE-DIC'!I261+' NOMINAS ENE-DIC'!I271</f>
        <v>3986912.2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1594764.8800000001</v>
      </c>
      <c r="G6" s="122">
        <f>+'%'!D5</f>
        <v>0.6</v>
      </c>
      <c r="H6" s="123">
        <f t="shared" si="2"/>
        <v>2392147.3199999998</v>
      </c>
      <c r="I6" s="122">
        <f>+'%'!E5</f>
        <v>0</v>
      </c>
      <c r="J6" s="123">
        <f t="shared" si="3"/>
        <v>0</v>
      </c>
      <c r="K6" s="122">
        <f>+'%'!G5</f>
        <v>0</v>
      </c>
      <c r="L6" s="123">
        <f t="shared" si="4"/>
        <v>0</v>
      </c>
      <c r="M6" s="122">
        <f>+'%'!I5</f>
        <v>0</v>
      </c>
      <c r="N6" s="123">
        <f t="shared" ref="N6:N11" si="11">+B6*M6</f>
        <v>0</v>
      </c>
      <c r="O6" s="93">
        <f t="shared" ref="O6:O11" si="12">+N6+L6+J6+H6+F6</f>
        <v>3986912.2</v>
      </c>
      <c r="P6" s="86">
        <f>+'%'!F5</f>
        <v>0</v>
      </c>
      <c r="Q6" s="87">
        <f t="shared" si="5"/>
        <v>0</v>
      </c>
      <c r="R6" s="93">
        <f t="shared" ref="R6:R12" si="13">+Q6</f>
        <v>0</v>
      </c>
      <c r="S6" s="86">
        <f>+'%'!G5</f>
        <v>0</v>
      </c>
      <c r="T6" s="87">
        <f t="shared" si="6"/>
        <v>0</v>
      </c>
      <c r="U6" s="86">
        <f>+'%'!H5</f>
        <v>0</v>
      </c>
      <c r="V6" s="87">
        <f t="shared" si="7"/>
        <v>0</v>
      </c>
      <c r="W6" s="93">
        <f t="shared" ref="W6:W11" si="14">+T6+V6</f>
        <v>0</v>
      </c>
      <c r="X6" s="88">
        <f>+'%'!I5</f>
        <v>0</v>
      </c>
      <c r="Y6" s="89">
        <f>+X6*B6</f>
        <v>0</v>
      </c>
      <c r="Z6" s="88">
        <f>+'%'!J5</f>
        <v>0</v>
      </c>
      <c r="AA6" s="89">
        <f t="shared" si="8"/>
        <v>0</v>
      </c>
      <c r="AB6" s="93">
        <f t="shared" ref="AB6:AB11" si="15">+Y6+AA6</f>
        <v>0</v>
      </c>
      <c r="AC6" s="88">
        <f>+'%'!K5</f>
        <v>0</v>
      </c>
      <c r="AD6" s="89">
        <f t="shared" si="9"/>
        <v>0</v>
      </c>
      <c r="AE6" s="93">
        <f t="shared" ref="AE6:AE11" si="16">+AD6</f>
        <v>0</v>
      </c>
      <c r="AF6" s="81">
        <f t="shared" si="10"/>
        <v>0</v>
      </c>
      <c r="AG6" s="82">
        <f t="shared" ref="AG6:AG11" si="17">+C6+E6+G6+I6+K6+M6+P6+S6+U6+X6+Z6+AC6</f>
        <v>1</v>
      </c>
      <c r="AI6" s="162"/>
    </row>
    <row r="7" spans="1:35" x14ac:dyDescent="0.25">
      <c r="A7" s="46" t="s">
        <v>109</v>
      </c>
      <c r="B7" s="90">
        <f>+' NOMINAS ENE-DIC'!I258+' NOMINAS ENE-DIC'!I268</f>
        <v>3986909.2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996727.3</v>
      </c>
      <c r="G7" s="122">
        <f>+'%'!D7</f>
        <v>0.45</v>
      </c>
      <c r="H7" s="123">
        <f t="shared" si="2"/>
        <v>1794109.1400000001</v>
      </c>
      <c r="I7" s="122">
        <f>+'%'!E7</f>
        <v>0.2</v>
      </c>
      <c r="J7" s="123">
        <f t="shared" si="3"/>
        <v>797381.84000000008</v>
      </c>
      <c r="K7" s="122">
        <v>0.05</v>
      </c>
      <c r="L7" s="123">
        <f>+B7*K7</f>
        <v>199345.46000000002</v>
      </c>
      <c r="M7" s="122">
        <v>0.05</v>
      </c>
      <c r="N7" s="123">
        <f t="shared" si="11"/>
        <v>199345.46000000002</v>
      </c>
      <c r="O7" s="93">
        <f t="shared" si="12"/>
        <v>3986909.2</v>
      </c>
      <c r="P7" s="86">
        <f>+'%'!F7</f>
        <v>0</v>
      </c>
      <c r="Q7" s="87">
        <f t="shared" si="5"/>
        <v>0</v>
      </c>
      <c r="R7" s="93">
        <f t="shared" si="13"/>
        <v>0</v>
      </c>
      <c r="S7" s="86">
        <f>+'%'!G7</f>
        <v>0</v>
      </c>
      <c r="T7" s="87">
        <f t="shared" si="6"/>
        <v>0</v>
      </c>
      <c r="U7" s="86">
        <v>0</v>
      </c>
      <c r="V7" s="87">
        <f t="shared" si="7"/>
        <v>0</v>
      </c>
      <c r="W7" s="93">
        <f t="shared" si="14"/>
        <v>0</v>
      </c>
      <c r="X7" s="88">
        <f>+'%'!I7</f>
        <v>0</v>
      </c>
      <c r="Y7" s="89">
        <v>0</v>
      </c>
      <c r="Z7" s="88">
        <v>0</v>
      </c>
      <c r="AA7" s="89">
        <f t="shared" si="8"/>
        <v>0</v>
      </c>
      <c r="AB7" s="93">
        <f t="shared" si="15"/>
        <v>0</v>
      </c>
      <c r="AC7" s="88">
        <f>+'%'!K7</f>
        <v>0</v>
      </c>
      <c r="AD7" s="89">
        <f t="shared" si="9"/>
        <v>0</v>
      </c>
      <c r="AE7" s="93">
        <f t="shared" si="16"/>
        <v>0</v>
      </c>
      <c r="AF7" s="81">
        <f t="shared" si="10"/>
        <v>0</v>
      </c>
      <c r="AG7" s="82">
        <f t="shared" si="17"/>
        <v>1</v>
      </c>
      <c r="AI7" s="162"/>
    </row>
    <row r="8" spans="1:35" x14ac:dyDescent="0.25">
      <c r="A8" s="46" t="s">
        <v>266</v>
      </c>
      <c r="B8" s="90">
        <f>+' NOMINAS ENE-DIC'!I260+' NOMINAS ENE-DIC'!I270</f>
        <v>2164685.2000000002</v>
      </c>
      <c r="C8" s="91">
        <v>1</v>
      </c>
      <c r="D8" s="93">
        <f t="shared" si="0"/>
        <v>2164685.2000000002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122">
        <v>0</v>
      </c>
      <c r="L8" s="123">
        <f t="shared" si="4"/>
        <v>0</v>
      </c>
      <c r="M8" s="122">
        <v>0</v>
      </c>
      <c r="N8" s="123">
        <f t="shared" si="11"/>
        <v>0</v>
      </c>
      <c r="O8" s="93">
        <f t="shared" si="12"/>
        <v>0</v>
      </c>
      <c r="P8" s="86">
        <v>0</v>
      </c>
      <c r="Q8" s="87">
        <f t="shared" si="5"/>
        <v>0</v>
      </c>
      <c r="R8" s="93">
        <f t="shared" si="13"/>
        <v>0</v>
      </c>
      <c r="S8" s="86">
        <v>0</v>
      </c>
      <c r="T8" s="87">
        <f t="shared" si="6"/>
        <v>0</v>
      </c>
      <c r="U8" s="86">
        <v>0</v>
      </c>
      <c r="V8" s="87">
        <f t="shared" si="7"/>
        <v>0</v>
      </c>
      <c r="W8" s="93">
        <f t="shared" si="14"/>
        <v>0</v>
      </c>
      <c r="X8" s="88">
        <v>0</v>
      </c>
      <c r="Y8" s="89">
        <v>0</v>
      </c>
      <c r="Z8" s="88">
        <v>0</v>
      </c>
      <c r="AA8" s="89">
        <f t="shared" si="8"/>
        <v>0</v>
      </c>
      <c r="AB8" s="93">
        <f t="shared" si="15"/>
        <v>0</v>
      </c>
      <c r="AC8" s="88">
        <v>0</v>
      </c>
      <c r="AD8" s="89">
        <f t="shared" si="9"/>
        <v>0</v>
      </c>
      <c r="AE8" s="93">
        <f t="shared" si="16"/>
        <v>0</v>
      </c>
      <c r="AF8" s="81">
        <f t="shared" si="10"/>
        <v>0</v>
      </c>
      <c r="AG8" s="82">
        <f t="shared" si="17"/>
        <v>1</v>
      </c>
    </row>
    <row r="9" spans="1:35" x14ac:dyDescent="0.25">
      <c r="A9" s="46" t="s">
        <v>184</v>
      </c>
      <c r="B9" s="90">
        <f>+' NOMINAS ENE-DIC'!D277</f>
        <v>4664000</v>
      </c>
      <c r="C9" s="91">
        <f>+'%'!B8</f>
        <v>0.2</v>
      </c>
      <c r="D9" s="93">
        <f t="shared" si="0"/>
        <v>932800</v>
      </c>
      <c r="E9" s="122">
        <f>+'%'!C8</f>
        <v>0.1</v>
      </c>
      <c r="F9" s="123">
        <f t="shared" si="1"/>
        <v>466400</v>
      </c>
      <c r="G9" s="122">
        <f>+'%'!D8</f>
        <v>0.3</v>
      </c>
      <c r="H9" s="123">
        <f t="shared" si="2"/>
        <v>1399200</v>
      </c>
      <c r="I9" s="122">
        <f>+'%'!E8</f>
        <v>0.1</v>
      </c>
      <c r="J9" s="123">
        <f t="shared" si="3"/>
        <v>466400</v>
      </c>
      <c r="K9" s="122">
        <f>+'%'!G8</f>
        <v>0.05</v>
      </c>
      <c r="L9" s="123">
        <f t="shared" si="4"/>
        <v>233200</v>
      </c>
      <c r="M9" s="122">
        <v>0.02</v>
      </c>
      <c r="N9" s="123">
        <f t="shared" si="11"/>
        <v>93280</v>
      </c>
      <c r="O9" s="93">
        <f t="shared" si="12"/>
        <v>2658480</v>
      </c>
      <c r="P9" s="86">
        <f>+'%'!F8</f>
        <v>0</v>
      </c>
      <c r="Q9" s="87">
        <f t="shared" si="5"/>
        <v>0</v>
      </c>
      <c r="R9" s="93">
        <f t="shared" si="13"/>
        <v>0</v>
      </c>
      <c r="S9" s="86">
        <v>0.02</v>
      </c>
      <c r="T9" s="87">
        <f t="shared" si="6"/>
        <v>93280</v>
      </c>
      <c r="U9" s="86">
        <f>+'%'!H8</f>
        <v>0.05</v>
      </c>
      <c r="V9" s="87">
        <f t="shared" si="7"/>
        <v>233200</v>
      </c>
      <c r="W9" s="93">
        <f t="shared" si="14"/>
        <v>326480</v>
      </c>
      <c r="X9" s="88">
        <f>+'%'!I8</f>
        <v>0</v>
      </c>
      <c r="Y9" s="89">
        <v>0</v>
      </c>
      <c r="Z9" s="88">
        <v>0.03</v>
      </c>
      <c r="AA9" s="89">
        <f t="shared" si="8"/>
        <v>139920</v>
      </c>
      <c r="AB9" s="93">
        <f t="shared" si="15"/>
        <v>139920</v>
      </c>
      <c r="AC9" s="88">
        <v>0.13</v>
      </c>
      <c r="AD9" s="89">
        <f t="shared" si="9"/>
        <v>606320</v>
      </c>
      <c r="AE9" s="93">
        <f t="shared" si="16"/>
        <v>606320</v>
      </c>
      <c r="AF9" s="81">
        <f t="shared" si="10"/>
        <v>0</v>
      </c>
      <c r="AG9" s="82">
        <f t="shared" si="17"/>
        <v>1.0000000000000002</v>
      </c>
      <c r="AI9" s="162"/>
    </row>
    <row r="10" spans="1:35" x14ac:dyDescent="0.25">
      <c r="A10" s="46" t="s">
        <v>51</v>
      </c>
      <c r="B10" s="90">
        <f>+' NOMINAS ENE-DIC'!D278</f>
        <v>2000000</v>
      </c>
      <c r="C10" s="91">
        <f>+'%'!B8</f>
        <v>0.2</v>
      </c>
      <c r="D10" s="93">
        <f t="shared" si="0"/>
        <v>400000</v>
      </c>
      <c r="E10" s="122">
        <f>+'%'!C8</f>
        <v>0.1</v>
      </c>
      <c r="F10" s="123">
        <f t="shared" si="1"/>
        <v>200000</v>
      </c>
      <c r="G10" s="122">
        <f>+'%'!D8</f>
        <v>0.3</v>
      </c>
      <c r="H10" s="123">
        <f t="shared" si="2"/>
        <v>600000</v>
      </c>
      <c r="I10" s="122">
        <f>+'%'!E8</f>
        <v>0.1</v>
      </c>
      <c r="J10" s="123">
        <f t="shared" si="3"/>
        <v>200000</v>
      </c>
      <c r="K10" s="122">
        <f>+'%'!G8</f>
        <v>0.05</v>
      </c>
      <c r="L10" s="123">
        <f t="shared" si="4"/>
        <v>100000</v>
      </c>
      <c r="M10" s="122">
        <v>0.02</v>
      </c>
      <c r="N10" s="123">
        <f t="shared" si="11"/>
        <v>40000</v>
      </c>
      <c r="O10" s="93">
        <f t="shared" si="12"/>
        <v>1140000</v>
      </c>
      <c r="P10" s="86">
        <f>+'%'!F8</f>
        <v>0</v>
      </c>
      <c r="Q10" s="87">
        <f t="shared" si="5"/>
        <v>0</v>
      </c>
      <c r="R10" s="93">
        <f t="shared" si="13"/>
        <v>0</v>
      </c>
      <c r="S10" s="86">
        <v>0.02</v>
      </c>
      <c r="T10" s="87">
        <f t="shared" si="6"/>
        <v>40000</v>
      </c>
      <c r="U10" s="86">
        <f>+'%'!H8</f>
        <v>0.05</v>
      </c>
      <c r="V10" s="87">
        <f t="shared" si="7"/>
        <v>100000</v>
      </c>
      <c r="W10" s="93">
        <f t="shared" si="14"/>
        <v>140000</v>
      </c>
      <c r="X10" s="88">
        <f>+'%'!I8</f>
        <v>0</v>
      </c>
      <c r="Y10" s="89">
        <f>+X10*B10</f>
        <v>0</v>
      </c>
      <c r="Z10" s="88">
        <v>0.03</v>
      </c>
      <c r="AA10" s="89">
        <f t="shared" si="8"/>
        <v>60000</v>
      </c>
      <c r="AB10" s="93">
        <f t="shared" si="15"/>
        <v>60000</v>
      </c>
      <c r="AC10" s="88">
        <v>0.13</v>
      </c>
      <c r="AD10" s="89">
        <f t="shared" si="9"/>
        <v>260000</v>
      </c>
      <c r="AE10" s="93">
        <f t="shared" si="16"/>
        <v>260000</v>
      </c>
      <c r="AF10" s="81">
        <f t="shared" si="10"/>
        <v>0</v>
      </c>
      <c r="AG10" s="82">
        <f t="shared" si="17"/>
        <v>1.0000000000000002</v>
      </c>
      <c r="AI10" s="162"/>
    </row>
    <row r="11" spans="1:35" x14ac:dyDescent="0.25">
      <c r="A11" s="46" t="s">
        <v>185</v>
      </c>
      <c r="B11" s="90">
        <f>+' NOMINAS ENE-DIC'!D276</f>
        <v>870000</v>
      </c>
      <c r="C11" s="91">
        <f>+'%'!B9</f>
        <v>0.2</v>
      </c>
      <c r="D11" s="93">
        <f t="shared" si="0"/>
        <v>174000</v>
      </c>
      <c r="E11" s="122">
        <f>+'%'!C9</f>
        <v>0.1</v>
      </c>
      <c r="F11" s="123">
        <f t="shared" si="1"/>
        <v>87000</v>
      </c>
      <c r="G11" s="122">
        <f>+'%'!D9</f>
        <v>0.2</v>
      </c>
      <c r="H11" s="123">
        <f t="shared" si="2"/>
        <v>174000</v>
      </c>
      <c r="I11" s="122">
        <f>+'%'!E9</f>
        <v>0.15</v>
      </c>
      <c r="J11" s="123">
        <f t="shared" si="3"/>
        <v>130500</v>
      </c>
      <c r="K11" s="122">
        <f>+'%'!G9</f>
        <v>0.05</v>
      </c>
      <c r="L11" s="123">
        <f t="shared" si="4"/>
        <v>43500</v>
      </c>
      <c r="M11" s="122">
        <v>0.02</v>
      </c>
      <c r="N11" s="123">
        <f t="shared" si="11"/>
        <v>17400</v>
      </c>
      <c r="O11" s="93">
        <f t="shared" si="12"/>
        <v>452400</v>
      </c>
      <c r="P11" s="86">
        <f>+'%'!F9</f>
        <v>0</v>
      </c>
      <c r="Q11" s="87">
        <f t="shared" si="5"/>
        <v>0</v>
      </c>
      <c r="R11" s="93">
        <f t="shared" si="13"/>
        <v>0</v>
      </c>
      <c r="S11" s="86">
        <v>0.02</v>
      </c>
      <c r="T11" s="87">
        <f t="shared" si="6"/>
        <v>17400</v>
      </c>
      <c r="U11" s="86">
        <f>+'%'!H9</f>
        <v>0.1</v>
      </c>
      <c r="V11" s="87">
        <f t="shared" si="7"/>
        <v>87000</v>
      </c>
      <c r="W11" s="93">
        <f t="shared" si="14"/>
        <v>104400</v>
      </c>
      <c r="X11" s="88">
        <f>+'%'!I9</f>
        <v>0</v>
      </c>
      <c r="Y11" s="89">
        <f>+X11*B11</f>
        <v>0</v>
      </c>
      <c r="Z11" s="88">
        <v>0.13</v>
      </c>
      <c r="AA11" s="89">
        <f t="shared" si="8"/>
        <v>113100</v>
      </c>
      <c r="AB11" s="93">
        <f t="shared" si="15"/>
        <v>113100</v>
      </c>
      <c r="AC11" s="88">
        <v>0.03</v>
      </c>
      <c r="AD11" s="89">
        <f t="shared" si="9"/>
        <v>26100</v>
      </c>
      <c r="AE11" s="93">
        <f t="shared" si="16"/>
        <v>26100</v>
      </c>
      <c r="AF11" s="81">
        <f t="shared" si="10"/>
        <v>0</v>
      </c>
      <c r="AG11" s="82">
        <f t="shared" si="17"/>
        <v>1</v>
      </c>
      <c r="AI11" s="162"/>
    </row>
    <row r="12" spans="1:35" x14ac:dyDescent="0.25">
      <c r="A12" s="46" t="s">
        <v>181</v>
      </c>
      <c r="B12" s="92">
        <f>SUM(B5:B11)</f>
        <v>22939428.167999998</v>
      </c>
      <c r="C12" s="44"/>
      <c r="D12" s="93">
        <f>SUM(D5:D11)</f>
        <v>5514907.7488000002</v>
      </c>
      <c r="E12" s="124"/>
      <c r="F12" s="125">
        <f>SUM(F5:F11)</f>
        <v>3344892.18</v>
      </c>
      <c r="G12" s="124"/>
      <c r="H12" s="125">
        <f>SUM(H5:H11)</f>
        <v>6359456.46</v>
      </c>
      <c r="I12" s="124"/>
      <c r="J12" s="125">
        <f>SUM(J5:J11)</f>
        <v>1594281.84</v>
      </c>
      <c r="K12" s="125"/>
      <c r="L12" s="125">
        <f>SUM(L5:L11)</f>
        <v>576045.46</v>
      </c>
      <c r="M12" s="125"/>
      <c r="N12" s="125">
        <f>SUM(N5:N11)</f>
        <v>350025.46</v>
      </c>
      <c r="O12" s="93">
        <f>SUM(O5:O11)</f>
        <v>12224701.4</v>
      </c>
      <c r="P12" s="44"/>
      <c r="Q12" s="95">
        <f>SUM(Q5:Q11)</f>
        <v>52669.215680000001</v>
      </c>
      <c r="R12" s="93">
        <f t="shared" si="13"/>
        <v>52669.215680000001</v>
      </c>
      <c r="S12" s="44"/>
      <c r="T12" s="95">
        <f>SUM(T5:T11)</f>
        <v>256018.43135999999</v>
      </c>
      <c r="U12" s="44"/>
      <c r="V12" s="95">
        <f>SUM(V5:V11)</f>
        <v>683546.0784</v>
      </c>
      <c r="W12" s="93">
        <f>SUM(W5:W11)</f>
        <v>939564.50976000004</v>
      </c>
      <c r="X12" s="44"/>
      <c r="Y12" s="94">
        <f>SUM(Y5:Y11)</f>
        <v>1053384.3136</v>
      </c>
      <c r="Z12" s="44"/>
      <c r="AA12" s="94">
        <f>SUM(AA5:AA11)</f>
        <v>1735088.82336</v>
      </c>
      <c r="AB12" s="93">
        <f>SUM(AB5:AB11)</f>
        <v>2788473.1369599998</v>
      </c>
      <c r="AC12" s="79"/>
      <c r="AD12" s="94">
        <f>SUM(AD5:AD11)</f>
        <v>1419112.1568</v>
      </c>
      <c r="AE12" s="93">
        <f>SUM(AE5:AE11)</f>
        <v>1419112.1568</v>
      </c>
      <c r="AF12" s="81">
        <f t="shared" si="10"/>
        <v>0</v>
      </c>
      <c r="AG12" s="82">
        <f>+C12+E12+G12+I12+P12+S12+U12+X12+Z12+AC12</f>
        <v>0</v>
      </c>
    </row>
    <row r="15" spans="1:35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121" t="s">
        <v>340</v>
      </c>
      <c r="L15" s="121" t="s">
        <v>176</v>
      </c>
      <c r="M15" s="120" t="s">
        <v>345</v>
      </c>
      <c r="N15" s="121" t="s">
        <v>176</v>
      </c>
      <c r="O15" s="71" t="s">
        <v>222</v>
      </c>
      <c r="P15" s="75" t="s">
        <v>161</v>
      </c>
      <c r="Q15" s="75" t="s">
        <v>176</v>
      </c>
      <c r="R15" s="71" t="s">
        <v>300</v>
      </c>
      <c r="S15" s="75" t="s">
        <v>162</v>
      </c>
      <c r="T15" s="75" t="s">
        <v>176</v>
      </c>
      <c r="U15" s="76" t="s">
        <v>163</v>
      </c>
      <c r="V15" s="76" t="s">
        <v>176</v>
      </c>
      <c r="W15" s="71" t="s">
        <v>171</v>
      </c>
      <c r="X15" s="77" t="s">
        <v>164</v>
      </c>
      <c r="Y15" s="77" t="s">
        <v>176</v>
      </c>
      <c r="Z15" s="78" t="s">
        <v>165</v>
      </c>
      <c r="AA15" s="78" t="s">
        <v>176</v>
      </c>
      <c r="AB15" s="71" t="s">
        <v>301</v>
      </c>
      <c r="AC15" s="78" t="s">
        <v>194</v>
      </c>
      <c r="AD15" s="78" t="s">
        <v>176</v>
      </c>
      <c r="AE15" s="71" t="s">
        <v>172</v>
      </c>
      <c r="AF15" s="98" t="s">
        <v>178</v>
      </c>
      <c r="AG15" s="98" t="s">
        <v>179</v>
      </c>
      <c r="AH15" s="158" t="s">
        <v>244</v>
      </c>
    </row>
    <row r="16" spans="1:35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122">
        <v>0.1</v>
      </c>
      <c r="L16" s="123">
        <f>+B16*K16</f>
        <v>131136</v>
      </c>
      <c r="M16" s="122">
        <v>0.03</v>
      </c>
      <c r="N16" s="123">
        <f>+B16*M16</f>
        <v>39340.799999999996</v>
      </c>
      <c r="O16" s="93">
        <f t="shared" ref="O16:O50" si="18">+N16+L16+J16+H16+F16</f>
        <v>445862.40000000002</v>
      </c>
      <c r="P16" s="86">
        <v>0.01</v>
      </c>
      <c r="Q16" s="87">
        <f t="shared" ref="Q16:Q50" si="19">+P16*B16</f>
        <v>13113.6</v>
      </c>
      <c r="R16" s="93">
        <f>+Q16</f>
        <v>13113.6</v>
      </c>
      <c r="S16" s="86">
        <v>0.03</v>
      </c>
      <c r="T16" s="87">
        <f t="shared" ref="T16:T50" si="20">+S16*B16</f>
        <v>39340.799999999996</v>
      </c>
      <c r="U16" s="86">
        <v>0.05</v>
      </c>
      <c r="V16" s="87">
        <f t="shared" ref="V16:V50" si="21">+U16*B16</f>
        <v>65568</v>
      </c>
      <c r="W16" s="93">
        <f>+T16+V16</f>
        <v>104908.79999999999</v>
      </c>
      <c r="X16" s="88">
        <v>0.15</v>
      </c>
      <c r="Y16" s="89">
        <f t="shared" ref="Y16:Y47" si="22">+X16*B16</f>
        <v>196704</v>
      </c>
      <c r="Z16" s="88">
        <v>0.32</v>
      </c>
      <c r="AA16" s="89">
        <f t="shared" ref="AA16:AA50" si="23">+Z16*B16</f>
        <v>419635.20000000001</v>
      </c>
      <c r="AB16" s="93">
        <f>+Y16+AA16</f>
        <v>616339.19999999995</v>
      </c>
      <c r="AC16" s="88">
        <v>0</v>
      </c>
      <c r="AD16" s="89">
        <f t="shared" ref="AD16:AD50" si="24">+AC16*B16</f>
        <v>0</v>
      </c>
      <c r="AE16" s="93">
        <f>+AD16</f>
        <v>0</v>
      </c>
      <c r="AF16" s="81">
        <f>+(D16+O16+R16+W16+AB16+AE16)-B16</f>
        <v>0</v>
      </c>
      <c r="AG16" s="82">
        <f t="shared" ref="AG16:AG50" si="25">+C16+E16+G16+I16+K16+M16+P16+S16+U16+X16+Z16+AC16</f>
        <v>1.0000000000000002</v>
      </c>
      <c r="AH16" s="159">
        <f t="shared" ref="AH16:AH50" si="26">+AE16+W16+O16</f>
        <v>550771.19999999995</v>
      </c>
    </row>
    <row r="17" spans="1:34" x14ac:dyDescent="0.25">
      <c r="A17" s="46" t="s">
        <v>81</v>
      </c>
      <c r="B17" s="90">
        <v>13744</v>
      </c>
      <c r="C17" s="91">
        <v>0</v>
      </c>
      <c r="D17" s="85">
        <f t="shared" ref="D17:D50" si="27">+B17*C17</f>
        <v>0</v>
      </c>
      <c r="E17" s="122">
        <v>0.6</v>
      </c>
      <c r="F17" s="123">
        <f t="shared" ref="F17:F50" si="28">+B17*E17</f>
        <v>8246.4</v>
      </c>
      <c r="G17" s="122">
        <v>0.4</v>
      </c>
      <c r="H17" s="123">
        <f t="shared" ref="H17:H50" si="29">+B17*G17</f>
        <v>5497.6</v>
      </c>
      <c r="I17" s="122">
        <v>0</v>
      </c>
      <c r="J17" s="123">
        <f t="shared" ref="J17:J50" si="30">+B17*I17</f>
        <v>0</v>
      </c>
      <c r="K17" s="122">
        <v>0</v>
      </c>
      <c r="L17" s="123">
        <f t="shared" ref="L17:L50" si="31">+B17*K17</f>
        <v>0</v>
      </c>
      <c r="M17" s="122">
        <v>0</v>
      </c>
      <c r="N17" s="123">
        <f t="shared" ref="N17:N49" si="32">+B17*M17</f>
        <v>0</v>
      </c>
      <c r="O17" s="93">
        <f t="shared" si="18"/>
        <v>13744</v>
      </c>
      <c r="P17" s="86">
        <v>0</v>
      </c>
      <c r="Q17" s="87">
        <f t="shared" si="19"/>
        <v>0</v>
      </c>
      <c r="R17" s="93">
        <f t="shared" ref="R17:R50" si="33">+Q17</f>
        <v>0</v>
      </c>
      <c r="S17" s="86">
        <v>0</v>
      </c>
      <c r="T17" s="87">
        <f t="shared" si="20"/>
        <v>0</v>
      </c>
      <c r="U17" s="86">
        <v>0</v>
      </c>
      <c r="V17" s="87">
        <f t="shared" si="21"/>
        <v>0</v>
      </c>
      <c r="W17" s="93">
        <f t="shared" ref="W17:W50" si="34">+T17+V17</f>
        <v>0</v>
      </c>
      <c r="X17" s="88">
        <v>0</v>
      </c>
      <c r="Y17" s="89">
        <f t="shared" si="22"/>
        <v>0</v>
      </c>
      <c r="Z17" s="88">
        <v>0</v>
      </c>
      <c r="AA17" s="89">
        <f t="shared" si="23"/>
        <v>0</v>
      </c>
      <c r="AB17" s="93">
        <f t="shared" ref="AB17:AB50" si="35">+Y17+AA17</f>
        <v>0</v>
      </c>
      <c r="AC17" s="88">
        <v>0</v>
      </c>
      <c r="AD17" s="89">
        <f t="shared" si="24"/>
        <v>0</v>
      </c>
      <c r="AE17" s="93">
        <f t="shared" ref="AE17:AE50" si="36">+AD17</f>
        <v>0</v>
      </c>
      <c r="AF17" s="81">
        <f t="shared" ref="AF17:AF50" si="37">+(D17+O17+R17+W17+AB17+AE17)-B17</f>
        <v>0</v>
      </c>
      <c r="AG17" s="82">
        <f t="shared" si="25"/>
        <v>1</v>
      </c>
      <c r="AH17" s="159">
        <f t="shared" si="26"/>
        <v>13744</v>
      </c>
    </row>
    <row r="18" spans="1:34" x14ac:dyDescent="0.25">
      <c r="A18" s="46" t="s">
        <v>268</v>
      </c>
      <c r="B18" s="90">
        <v>1000000</v>
      </c>
      <c r="C18" s="91">
        <v>0</v>
      </c>
      <c r="D18" s="85">
        <f t="shared" si="27"/>
        <v>0</v>
      </c>
      <c r="E18" s="122">
        <v>0.6</v>
      </c>
      <c r="F18" s="123">
        <f t="shared" si="28"/>
        <v>600000</v>
      </c>
      <c r="G18" s="122">
        <v>0.4</v>
      </c>
      <c r="H18" s="123">
        <f t="shared" si="29"/>
        <v>400000</v>
      </c>
      <c r="I18" s="122">
        <v>0</v>
      </c>
      <c r="J18" s="123">
        <f t="shared" si="30"/>
        <v>0</v>
      </c>
      <c r="K18" s="122">
        <v>0</v>
      </c>
      <c r="L18" s="123">
        <f t="shared" si="31"/>
        <v>0</v>
      </c>
      <c r="M18" s="122">
        <v>0</v>
      </c>
      <c r="N18" s="123">
        <f t="shared" si="32"/>
        <v>0</v>
      </c>
      <c r="O18" s="93">
        <f t="shared" si="18"/>
        <v>1000000</v>
      </c>
      <c r="P18" s="86">
        <v>0</v>
      </c>
      <c r="Q18" s="87">
        <f t="shared" si="19"/>
        <v>0</v>
      </c>
      <c r="R18" s="93">
        <f t="shared" si="33"/>
        <v>0</v>
      </c>
      <c r="S18" s="86">
        <v>0</v>
      </c>
      <c r="T18" s="87">
        <f t="shared" si="20"/>
        <v>0</v>
      </c>
      <c r="U18" s="86">
        <v>0</v>
      </c>
      <c r="V18" s="87">
        <f t="shared" si="21"/>
        <v>0</v>
      </c>
      <c r="W18" s="93">
        <f t="shared" si="34"/>
        <v>0</v>
      </c>
      <c r="X18" s="88">
        <v>0</v>
      </c>
      <c r="Y18" s="89">
        <f t="shared" si="22"/>
        <v>0</v>
      </c>
      <c r="Z18" s="88">
        <v>0</v>
      </c>
      <c r="AA18" s="89">
        <f t="shared" si="23"/>
        <v>0</v>
      </c>
      <c r="AB18" s="93">
        <f t="shared" si="35"/>
        <v>0</v>
      </c>
      <c r="AC18" s="88">
        <v>0</v>
      </c>
      <c r="AD18" s="89">
        <f t="shared" si="24"/>
        <v>0</v>
      </c>
      <c r="AE18" s="93">
        <f t="shared" si="36"/>
        <v>0</v>
      </c>
      <c r="AF18" s="81">
        <f t="shared" si="37"/>
        <v>0</v>
      </c>
      <c r="AG18" s="82">
        <f t="shared" si="25"/>
        <v>1</v>
      </c>
      <c r="AH18" s="159">
        <f t="shared" si="26"/>
        <v>1000000</v>
      </c>
    </row>
    <row r="19" spans="1:34" x14ac:dyDescent="0.25">
      <c r="A19" s="46" t="s">
        <v>186</v>
      </c>
      <c r="B19" s="90">
        <v>850000</v>
      </c>
      <c r="C19" s="91">
        <v>0.1</v>
      </c>
      <c r="D19" s="85">
        <f t="shared" si="27"/>
        <v>85000</v>
      </c>
      <c r="E19" s="122">
        <v>0</v>
      </c>
      <c r="F19" s="123">
        <f t="shared" si="28"/>
        <v>0</v>
      </c>
      <c r="G19" s="122">
        <v>0</v>
      </c>
      <c r="H19" s="123">
        <f t="shared" si="29"/>
        <v>0</v>
      </c>
      <c r="I19" s="122">
        <v>0</v>
      </c>
      <c r="J19" s="123">
        <f t="shared" si="30"/>
        <v>0</v>
      </c>
      <c r="K19" s="122">
        <v>0.03</v>
      </c>
      <c r="L19" s="123">
        <f t="shared" si="31"/>
        <v>25500</v>
      </c>
      <c r="M19" s="122">
        <v>0.03</v>
      </c>
      <c r="N19" s="123">
        <f t="shared" si="32"/>
        <v>25500</v>
      </c>
      <c r="O19" s="93">
        <f t="shared" si="18"/>
        <v>51000</v>
      </c>
      <c r="P19" s="86">
        <v>0.01</v>
      </c>
      <c r="Q19" s="87">
        <f t="shared" si="19"/>
        <v>8500</v>
      </c>
      <c r="R19" s="93">
        <f t="shared" si="33"/>
        <v>8500</v>
      </c>
      <c r="S19" s="86">
        <v>0.2</v>
      </c>
      <c r="T19" s="87">
        <f t="shared" si="20"/>
        <v>170000</v>
      </c>
      <c r="U19" s="86">
        <v>0.15</v>
      </c>
      <c r="V19" s="87">
        <f t="shared" si="21"/>
        <v>127500</v>
      </c>
      <c r="W19" s="93">
        <f t="shared" si="34"/>
        <v>297500</v>
      </c>
      <c r="X19" s="88">
        <v>0.2</v>
      </c>
      <c r="Y19" s="89">
        <f t="shared" si="22"/>
        <v>170000</v>
      </c>
      <c r="Z19" s="88">
        <v>0.18</v>
      </c>
      <c r="AA19" s="89">
        <f t="shared" si="23"/>
        <v>153000</v>
      </c>
      <c r="AB19" s="93">
        <f t="shared" si="35"/>
        <v>323000</v>
      </c>
      <c r="AC19" s="88">
        <v>0.1</v>
      </c>
      <c r="AD19" s="89">
        <f t="shared" si="24"/>
        <v>85000</v>
      </c>
      <c r="AE19" s="93">
        <f t="shared" si="36"/>
        <v>85000</v>
      </c>
      <c r="AF19" s="81">
        <f t="shared" si="37"/>
        <v>0</v>
      </c>
      <c r="AG19" s="82">
        <f t="shared" si="25"/>
        <v>0.99999999999999989</v>
      </c>
      <c r="AH19" s="159">
        <f t="shared" si="26"/>
        <v>433500</v>
      </c>
    </row>
    <row r="20" spans="1:34" x14ac:dyDescent="0.25">
      <c r="A20" s="46" t="s">
        <v>276</v>
      </c>
      <c r="B20" s="90"/>
      <c r="C20" s="91">
        <v>0</v>
      </c>
      <c r="D20" s="85">
        <f t="shared" si="27"/>
        <v>0</v>
      </c>
      <c r="E20" s="122">
        <v>0</v>
      </c>
      <c r="F20" s="123">
        <f t="shared" si="28"/>
        <v>0</v>
      </c>
      <c r="G20" s="122">
        <v>0</v>
      </c>
      <c r="H20" s="123">
        <f t="shared" si="29"/>
        <v>0</v>
      </c>
      <c r="I20" s="122">
        <v>0</v>
      </c>
      <c r="J20" s="123">
        <f t="shared" si="30"/>
        <v>0</v>
      </c>
      <c r="K20" s="122">
        <v>0</v>
      </c>
      <c r="L20" s="123">
        <f t="shared" si="31"/>
        <v>0</v>
      </c>
      <c r="M20" s="122">
        <v>0</v>
      </c>
      <c r="N20" s="123">
        <f t="shared" si="32"/>
        <v>0</v>
      </c>
      <c r="O20" s="93">
        <f t="shared" si="18"/>
        <v>0</v>
      </c>
      <c r="P20" s="86">
        <v>0</v>
      </c>
      <c r="Q20" s="87">
        <f t="shared" si="19"/>
        <v>0</v>
      </c>
      <c r="R20" s="93">
        <f t="shared" si="33"/>
        <v>0</v>
      </c>
      <c r="S20" s="86">
        <v>0</v>
      </c>
      <c r="T20" s="87">
        <f t="shared" si="20"/>
        <v>0</v>
      </c>
      <c r="U20" s="86">
        <v>0</v>
      </c>
      <c r="V20" s="87">
        <f t="shared" si="21"/>
        <v>0</v>
      </c>
      <c r="W20" s="93">
        <f t="shared" si="34"/>
        <v>0</v>
      </c>
      <c r="X20" s="88">
        <v>0</v>
      </c>
      <c r="Y20" s="89">
        <f t="shared" si="22"/>
        <v>0</v>
      </c>
      <c r="Z20" s="88">
        <v>0</v>
      </c>
      <c r="AA20" s="89">
        <f t="shared" si="23"/>
        <v>0</v>
      </c>
      <c r="AB20" s="93">
        <f t="shared" si="35"/>
        <v>0</v>
      </c>
      <c r="AC20" s="88">
        <v>1</v>
      </c>
      <c r="AD20" s="89">
        <f t="shared" si="24"/>
        <v>0</v>
      </c>
      <c r="AE20" s="93">
        <f t="shared" si="36"/>
        <v>0</v>
      </c>
      <c r="AF20" s="81">
        <f t="shared" si="37"/>
        <v>0</v>
      </c>
      <c r="AG20" s="82">
        <f t="shared" si="25"/>
        <v>1</v>
      </c>
      <c r="AH20" s="159">
        <f t="shared" si="26"/>
        <v>0</v>
      </c>
    </row>
    <row r="21" spans="1:34" x14ac:dyDescent="0.25">
      <c r="A21" s="46" t="s">
        <v>277</v>
      </c>
      <c r="B21" s="90">
        <v>137022</v>
      </c>
      <c r="C21" s="91">
        <v>0.1</v>
      </c>
      <c r="D21" s="85">
        <f t="shared" si="27"/>
        <v>13702.2</v>
      </c>
      <c r="E21" s="122">
        <v>0</v>
      </c>
      <c r="F21" s="123">
        <f t="shared" si="28"/>
        <v>0</v>
      </c>
      <c r="G21" s="122">
        <v>0</v>
      </c>
      <c r="H21" s="123">
        <f t="shared" si="29"/>
        <v>0</v>
      </c>
      <c r="I21" s="122">
        <v>0</v>
      </c>
      <c r="J21" s="123">
        <f t="shared" si="30"/>
        <v>0</v>
      </c>
      <c r="K21" s="122">
        <v>0</v>
      </c>
      <c r="L21" s="123">
        <f t="shared" si="31"/>
        <v>0</v>
      </c>
      <c r="M21" s="122">
        <v>0</v>
      </c>
      <c r="N21" s="123">
        <f t="shared" si="32"/>
        <v>0</v>
      </c>
      <c r="O21" s="93">
        <f t="shared" si="18"/>
        <v>0</v>
      </c>
      <c r="P21" s="86">
        <v>0</v>
      </c>
      <c r="Q21" s="87">
        <f t="shared" si="19"/>
        <v>0</v>
      </c>
      <c r="R21" s="93">
        <f t="shared" si="33"/>
        <v>0</v>
      </c>
      <c r="S21" s="86">
        <v>0</v>
      </c>
      <c r="T21" s="87">
        <f t="shared" si="20"/>
        <v>0</v>
      </c>
      <c r="U21" s="86">
        <v>0</v>
      </c>
      <c r="V21" s="87">
        <f t="shared" si="21"/>
        <v>0</v>
      </c>
      <c r="W21" s="93">
        <f t="shared" si="34"/>
        <v>0</v>
      </c>
      <c r="X21" s="88">
        <v>0.1</v>
      </c>
      <c r="Y21" s="89">
        <f t="shared" si="22"/>
        <v>13702.2</v>
      </c>
      <c r="Z21" s="88">
        <v>0.7</v>
      </c>
      <c r="AA21" s="89">
        <f t="shared" si="23"/>
        <v>95915.4</v>
      </c>
      <c r="AB21" s="93">
        <f t="shared" si="35"/>
        <v>109617.59999999999</v>
      </c>
      <c r="AC21" s="88">
        <v>0.1</v>
      </c>
      <c r="AD21" s="89">
        <f t="shared" si="24"/>
        <v>13702.2</v>
      </c>
      <c r="AE21" s="93">
        <f t="shared" si="36"/>
        <v>13702.2</v>
      </c>
      <c r="AF21" s="81">
        <f t="shared" si="37"/>
        <v>0</v>
      </c>
      <c r="AG21" s="82">
        <f t="shared" si="25"/>
        <v>0.99999999999999989</v>
      </c>
      <c r="AH21" s="159">
        <f t="shared" si="26"/>
        <v>13702.2</v>
      </c>
    </row>
    <row r="22" spans="1:34" x14ac:dyDescent="0.25">
      <c r="A22" s="46" t="s">
        <v>121</v>
      </c>
      <c r="B22" s="90">
        <v>1568026</v>
      </c>
      <c r="C22" s="91">
        <v>0</v>
      </c>
      <c r="D22" s="85">
        <f t="shared" si="27"/>
        <v>0</v>
      </c>
      <c r="E22" s="122">
        <v>0</v>
      </c>
      <c r="F22" s="123">
        <f t="shared" si="28"/>
        <v>0</v>
      </c>
      <c r="G22" s="122">
        <v>0</v>
      </c>
      <c r="H22" s="123">
        <f t="shared" si="29"/>
        <v>0</v>
      </c>
      <c r="I22" s="122">
        <v>0</v>
      </c>
      <c r="J22" s="123">
        <f t="shared" si="30"/>
        <v>0</v>
      </c>
      <c r="K22" s="122">
        <v>0</v>
      </c>
      <c r="L22" s="123">
        <f t="shared" si="31"/>
        <v>0</v>
      </c>
      <c r="M22" s="122">
        <v>0</v>
      </c>
      <c r="N22" s="123">
        <f t="shared" si="32"/>
        <v>0</v>
      </c>
      <c r="O22" s="93">
        <f t="shared" si="18"/>
        <v>0</v>
      </c>
      <c r="P22" s="86">
        <v>0</v>
      </c>
      <c r="Q22" s="87">
        <f t="shared" si="19"/>
        <v>0</v>
      </c>
      <c r="R22" s="93">
        <f t="shared" si="33"/>
        <v>0</v>
      </c>
      <c r="S22" s="86">
        <v>0</v>
      </c>
      <c r="T22" s="87">
        <f t="shared" si="20"/>
        <v>0</v>
      </c>
      <c r="U22" s="86">
        <v>0</v>
      </c>
      <c r="V22" s="87">
        <f t="shared" si="21"/>
        <v>0</v>
      </c>
      <c r="W22" s="93">
        <f t="shared" si="34"/>
        <v>0</v>
      </c>
      <c r="X22" s="88">
        <v>0</v>
      </c>
      <c r="Y22" s="89">
        <f t="shared" si="22"/>
        <v>0</v>
      </c>
      <c r="Z22" s="88">
        <v>0</v>
      </c>
      <c r="AA22" s="89">
        <f t="shared" si="23"/>
        <v>0</v>
      </c>
      <c r="AB22" s="93">
        <f t="shared" si="35"/>
        <v>0</v>
      </c>
      <c r="AC22" s="88">
        <v>1</v>
      </c>
      <c r="AD22" s="89">
        <f t="shared" si="24"/>
        <v>1568026</v>
      </c>
      <c r="AE22" s="93">
        <f t="shared" si="36"/>
        <v>1568026</v>
      </c>
      <c r="AF22" s="81">
        <f t="shared" si="37"/>
        <v>0</v>
      </c>
      <c r="AG22" s="82">
        <f t="shared" si="25"/>
        <v>1</v>
      </c>
      <c r="AH22" s="159">
        <f t="shared" si="26"/>
        <v>1568026</v>
      </c>
    </row>
    <row r="23" spans="1:34" x14ac:dyDescent="0.25">
      <c r="A23" s="46" t="s">
        <v>111</v>
      </c>
      <c r="B23" s="90">
        <f>106680+461665</f>
        <v>568345</v>
      </c>
      <c r="C23" s="91">
        <v>0</v>
      </c>
      <c r="D23" s="85">
        <f t="shared" si="27"/>
        <v>0</v>
      </c>
      <c r="E23" s="122">
        <v>0</v>
      </c>
      <c r="F23" s="123">
        <f t="shared" si="28"/>
        <v>0</v>
      </c>
      <c r="G23" s="122">
        <v>0</v>
      </c>
      <c r="H23" s="123">
        <f t="shared" si="29"/>
        <v>0</v>
      </c>
      <c r="I23" s="122">
        <v>0</v>
      </c>
      <c r="J23" s="123">
        <f t="shared" si="30"/>
        <v>0</v>
      </c>
      <c r="K23" s="122">
        <v>0</v>
      </c>
      <c r="L23" s="123">
        <f t="shared" si="31"/>
        <v>0</v>
      </c>
      <c r="M23" s="122">
        <v>0</v>
      </c>
      <c r="N23" s="123">
        <f t="shared" si="32"/>
        <v>0</v>
      </c>
      <c r="O23" s="93">
        <f t="shared" si="18"/>
        <v>0</v>
      </c>
      <c r="P23" s="86">
        <v>0</v>
      </c>
      <c r="Q23" s="87">
        <f t="shared" si="19"/>
        <v>0</v>
      </c>
      <c r="R23" s="93">
        <f t="shared" si="33"/>
        <v>0</v>
      </c>
      <c r="S23" s="86">
        <v>0</v>
      </c>
      <c r="T23" s="87">
        <f t="shared" si="20"/>
        <v>0</v>
      </c>
      <c r="U23" s="86">
        <v>0</v>
      </c>
      <c r="V23" s="87">
        <f t="shared" si="21"/>
        <v>0</v>
      </c>
      <c r="W23" s="93">
        <f t="shared" si="34"/>
        <v>0</v>
      </c>
      <c r="X23" s="88">
        <v>0</v>
      </c>
      <c r="Y23" s="89">
        <f t="shared" si="22"/>
        <v>0</v>
      </c>
      <c r="Z23" s="88">
        <v>0</v>
      </c>
      <c r="AA23" s="89">
        <f t="shared" si="23"/>
        <v>0</v>
      </c>
      <c r="AB23" s="93">
        <f t="shared" si="35"/>
        <v>0</v>
      </c>
      <c r="AC23" s="88">
        <v>1</v>
      </c>
      <c r="AD23" s="89">
        <f t="shared" si="24"/>
        <v>568345</v>
      </c>
      <c r="AE23" s="93">
        <f t="shared" si="36"/>
        <v>568345</v>
      </c>
      <c r="AF23" s="81">
        <f t="shared" si="37"/>
        <v>0</v>
      </c>
      <c r="AG23" s="82">
        <f t="shared" si="25"/>
        <v>1</v>
      </c>
      <c r="AH23" s="159">
        <f t="shared" si="26"/>
        <v>568345</v>
      </c>
    </row>
    <row r="24" spans="1:34" x14ac:dyDescent="0.25">
      <c r="A24" s="46" t="s">
        <v>220</v>
      </c>
      <c r="B24" s="90">
        <v>173490</v>
      </c>
      <c r="C24" s="91">
        <v>0.1</v>
      </c>
      <c r="D24" s="85">
        <f t="shared" si="27"/>
        <v>17349</v>
      </c>
      <c r="E24" s="122">
        <v>0.05</v>
      </c>
      <c r="F24" s="123">
        <f t="shared" si="28"/>
        <v>8674.5</v>
      </c>
      <c r="G24" s="122">
        <v>0.15</v>
      </c>
      <c r="H24" s="123">
        <f t="shared" si="29"/>
        <v>26023.5</v>
      </c>
      <c r="I24" s="122">
        <v>0</v>
      </c>
      <c r="J24" s="123">
        <f t="shared" si="30"/>
        <v>0</v>
      </c>
      <c r="K24" s="122">
        <v>0</v>
      </c>
      <c r="L24" s="123">
        <f t="shared" si="31"/>
        <v>0</v>
      </c>
      <c r="M24" s="122">
        <v>0</v>
      </c>
      <c r="N24" s="123">
        <f t="shared" si="32"/>
        <v>0</v>
      </c>
      <c r="O24" s="93">
        <f t="shared" si="18"/>
        <v>34698</v>
      </c>
      <c r="P24" s="86">
        <v>0</v>
      </c>
      <c r="Q24" s="87">
        <f t="shared" si="19"/>
        <v>0</v>
      </c>
      <c r="R24" s="93">
        <f t="shared" si="33"/>
        <v>0</v>
      </c>
      <c r="S24" s="86">
        <v>0</v>
      </c>
      <c r="T24" s="87">
        <f t="shared" si="20"/>
        <v>0</v>
      </c>
      <c r="U24" s="86">
        <v>0.05</v>
      </c>
      <c r="V24" s="87">
        <f t="shared" si="21"/>
        <v>8674.5</v>
      </c>
      <c r="W24" s="93">
        <f t="shared" si="34"/>
        <v>8674.5</v>
      </c>
      <c r="X24" s="88">
        <v>0.15</v>
      </c>
      <c r="Y24" s="89">
        <f t="shared" si="22"/>
        <v>26023.5</v>
      </c>
      <c r="Z24" s="88">
        <v>0.45</v>
      </c>
      <c r="AA24" s="89">
        <f t="shared" si="23"/>
        <v>78070.5</v>
      </c>
      <c r="AB24" s="93">
        <f t="shared" si="35"/>
        <v>104094</v>
      </c>
      <c r="AC24" s="88">
        <v>0.05</v>
      </c>
      <c r="AD24" s="89">
        <f t="shared" si="24"/>
        <v>8674.5</v>
      </c>
      <c r="AE24" s="93">
        <f t="shared" si="36"/>
        <v>8674.5</v>
      </c>
      <c r="AF24" s="81">
        <f t="shared" si="37"/>
        <v>0</v>
      </c>
      <c r="AG24" s="82">
        <f t="shared" si="25"/>
        <v>1</v>
      </c>
      <c r="AH24" s="159">
        <f t="shared" si="26"/>
        <v>52047</v>
      </c>
    </row>
    <row r="25" spans="1:34" x14ac:dyDescent="0.25">
      <c r="A25" s="46" t="s">
        <v>68</v>
      </c>
      <c r="B25" s="90">
        <v>702675</v>
      </c>
      <c r="C25" s="91">
        <v>0.1</v>
      </c>
      <c r="D25" s="85">
        <f t="shared" si="27"/>
        <v>70267.5</v>
      </c>
      <c r="E25" s="122">
        <v>0.05</v>
      </c>
      <c r="F25" s="123">
        <f t="shared" si="28"/>
        <v>35133.75</v>
      </c>
      <c r="G25" s="122">
        <v>0.15</v>
      </c>
      <c r="H25" s="123">
        <f t="shared" si="29"/>
        <v>105401.25</v>
      </c>
      <c r="I25" s="122">
        <v>0</v>
      </c>
      <c r="J25" s="123">
        <f t="shared" si="30"/>
        <v>0</v>
      </c>
      <c r="K25" s="122">
        <v>0</v>
      </c>
      <c r="L25" s="123">
        <f t="shared" si="31"/>
        <v>0</v>
      </c>
      <c r="M25" s="122">
        <v>0</v>
      </c>
      <c r="N25" s="123">
        <f t="shared" si="32"/>
        <v>0</v>
      </c>
      <c r="O25" s="93">
        <f t="shared" si="18"/>
        <v>140535</v>
      </c>
      <c r="P25" s="86">
        <v>0</v>
      </c>
      <c r="Q25" s="87">
        <f t="shared" si="19"/>
        <v>0</v>
      </c>
      <c r="R25" s="93">
        <f t="shared" si="33"/>
        <v>0</v>
      </c>
      <c r="S25" s="86">
        <v>0</v>
      </c>
      <c r="T25" s="87">
        <f t="shared" si="20"/>
        <v>0</v>
      </c>
      <c r="U25" s="86">
        <v>0.05</v>
      </c>
      <c r="V25" s="87">
        <f t="shared" si="21"/>
        <v>35133.75</v>
      </c>
      <c r="W25" s="93">
        <f t="shared" si="34"/>
        <v>35133.75</v>
      </c>
      <c r="X25" s="88">
        <v>0.15</v>
      </c>
      <c r="Y25" s="89">
        <f t="shared" si="22"/>
        <v>105401.25</v>
      </c>
      <c r="Z25" s="88">
        <v>0.45</v>
      </c>
      <c r="AA25" s="89">
        <f t="shared" si="23"/>
        <v>316203.75</v>
      </c>
      <c r="AB25" s="93">
        <f t="shared" si="35"/>
        <v>421605</v>
      </c>
      <c r="AC25" s="88">
        <v>0.05</v>
      </c>
      <c r="AD25" s="89">
        <f t="shared" si="24"/>
        <v>35133.75</v>
      </c>
      <c r="AE25" s="93">
        <f t="shared" si="36"/>
        <v>35133.75</v>
      </c>
      <c r="AF25" s="81">
        <f t="shared" si="37"/>
        <v>0</v>
      </c>
      <c r="AG25" s="82">
        <f t="shared" si="25"/>
        <v>1</v>
      </c>
      <c r="AH25" s="159">
        <f t="shared" si="26"/>
        <v>210802.5</v>
      </c>
    </row>
    <row r="26" spans="1:34" x14ac:dyDescent="0.25">
      <c r="A26" s="46" t="s">
        <v>187</v>
      </c>
      <c r="B26" s="90">
        <v>95508</v>
      </c>
      <c r="C26" s="91">
        <v>0.1</v>
      </c>
      <c r="D26" s="85">
        <f t="shared" si="27"/>
        <v>9550.8000000000011</v>
      </c>
      <c r="E26" s="122">
        <v>0</v>
      </c>
      <c r="F26" s="123">
        <f t="shared" si="28"/>
        <v>0</v>
      </c>
      <c r="G26" s="122">
        <v>0</v>
      </c>
      <c r="H26" s="123">
        <f t="shared" si="29"/>
        <v>0</v>
      </c>
      <c r="I26" s="122">
        <v>0.1</v>
      </c>
      <c r="J26" s="123">
        <f t="shared" si="30"/>
        <v>9550.8000000000011</v>
      </c>
      <c r="K26" s="122">
        <v>0</v>
      </c>
      <c r="L26" s="123">
        <f t="shared" si="31"/>
        <v>0</v>
      </c>
      <c r="M26" s="122">
        <v>0</v>
      </c>
      <c r="N26" s="123">
        <f t="shared" si="32"/>
        <v>0</v>
      </c>
      <c r="O26" s="93">
        <f t="shared" si="18"/>
        <v>9550.8000000000011</v>
      </c>
      <c r="P26" s="86">
        <v>0</v>
      </c>
      <c r="Q26" s="87">
        <f t="shared" si="19"/>
        <v>0</v>
      </c>
      <c r="R26" s="93">
        <f t="shared" si="33"/>
        <v>0</v>
      </c>
      <c r="S26" s="86">
        <v>0.05</v>
      </c>
      <c r="T26" s="87">
        <f t="shared" si="20"/>
        <v>4775.4000000000005</v>
      </c>
      <c r="U26" s="86">
        <v>0.1</v>
      </c>
      <c r="V26" s="87">
        <f t="shared" si="21"/>
        <v>9550.8000000000011</v>
      </c>
      <c r="W26" s="93">
        <f t="shared" si="34"/>
        <v>14326.2</v>
      </c>
      <c r="X26" s="88">
        <v>0.05</v>
      </c>
      <c r="Y26" s="89">
        <f t="shared" si="22"/>
        <v>4775.4000000000005</v>
      </c>
      <c r="Z26" s="88">
        <v>0.6</v>
      </c>
      <c r="AA26" s="89">
        <f t="shared" si="23"/>
        <v>57304.799999999996</v>
      </c>
      <c r="AB26" s="93">
        <f t="shared" si="35"/>
        <v>62080.2</v>
      </c>
      <c r="AC26" s="88">
        <v>0</v>
      </c>
      <c r="AD26" s="89">
        <f t="shared" si="24"/>
        <v>0</v>
      </c>
      <c r="AE26" s="93">
        <f t="shared" si="36"/>
        <v>0</v>
      </c>
      <c r="AF26" s="81">
        <f t="shared" si="37"/>
        <v>0</v>
      </c>
      <c r="AG26" s="82">
        <f t="shared" si="25"/>
        <v>1</v>
      </c>
      <c r="AH26" s="159">
        <f t="shared" si="26"/>
        <v>23877</v>
      </c>
    </row>
    <row r="27" spans="1:34" x14ac:dyDescent="0.25">
      <c r="A27" s="46" t="s">
        <v>188</v>
      </c>
      <c r="B27" s="90">
        <v>223257</v>
      </c>
      <c r="C27" s="91">
        <v>0.1</v>
      </c>
      <c r="D27" s="85">
        <f t="shared" si="27"/>
        <v>22325.7</v>
      </c>
      <c r="E27" s="122">
        <v>0</v>
      </c>
      <c r="F27" s="123">
        <f t="shared" si="28"/>
        <v>0</v>
      </c>
      <c r="G27" s="122">
        <v>0.1</v>
      </c>
      <c r="H27" s="123">
        <f t="shared" si="29"/>
        <v>22325.7</v>
      </c>
      <c r="I27" s="122">
        <v>0.02</v>
      </c>
      <c r="J27" s="123">
        <f t="shared" si="30"/>
        <v>4465.1400000000003</v>
      </c>
      <c r="K27" s="122">
        <v>0</v>
      </c>
      <c r="L27" s="123">
        <f t="shared" si="31"/>
        <v>0</v>
      </c>
      <c r="M27" s="122">
        <v>0</v>
      </c>
      <c r="N27" s="123">
        <f t="shared" si="32"/>
        <v>0</v>
      </c>
      <c r="O27" s="93">
        <f t="shared" si="18"/>
        <v>26790.84</v>
      </c>
      <c r="P27" s="86">
        <v>0</v>
      </c>
      <c r="Q27" s="87">
        <f t="shared" si="19"/>
        <v>0</v>
      </c>
      <c r="R27" s="93">
        <f t="shared" si="33"/>
        <v>0</v>
      </c>
      <c r="S27" s="86">
        <v>0.1</v>
      </c>
      <c r="T27" s="87">
        <f t="shared" si="20"/>
        <v>22325.7</v>
      </c>
      <c r="U27" s="86">
        <v>0.05</v>
      </c>
      <c r="V27" s="87">
        <f t="shared" si="21"/>
        <v>11162.85</v>
      </c>
      <c r="W27" s="93">
        <f t="shared" si="34"/>
        <v>33488.550000000003</v>
      </c>
      <c r="X27" s="88">
        <v>0.02</v>
      </c>
      <c r="Y27" s="89">
        <f t="shared" si="22"/>
        <v>4465.1400000000003</v>
      </c>
      <c r="Z27" s="88">
        <v>0.61</v>
      </c>
      <c r="AA27" s="89">
        <f t="shared" si="23"/>
        <v>136186.76999999999</v>
      </c>
      <c r="AB27" s="93">
        <f t="shared" si="35"/>
        <v>140651.91</v>
      </c>
      <c r="AC27" s="88">
        <v>0</v>
      </c>
      <c r="AD27" s="89">
        <f t="shared" si="24"/>
        <v>0</v>
      </c>
      <c r="AE27" s="93">
        <f t="shared" si="36"/>
        <v>0</v>
      </c>
      <c r="AF27" s="81">
        <f t="shared" si="37"/>
        <v>0</v>
      </c>
      <c r="AG27" s="82">
        <f t="shared" si="25"/>
        <v>1</v>
      </c>
      <c r="AH27" s="159">
        <f t="shared" si="26"/>
        <v>60279.39</v>
      </c>
    </row>
    <row r="28" spans="1:34" x14ac:dyDescent="0.25">
      <c r="A28" s="46" t="s">
        <v>263</v>
      </c>
      <c r="B28" s="90"/>
      <c r="C28" s="91">
        <v>0.1</v>
      </c>
      <c r="D28" s="85">
        <f t="shared" si="27"/>
        <v>0</v>
      </c>
      <c r="E28" s="122">
        <v>0</v>
      </c>
      <c r="F28" s="123">
        <f t="shared" si="28"/>
        <v>0</v>
      </c>
      <c r="G28" s="122">
        <v>0.1</v>
      </c>
      <c r="H28" s="123">
        <f t="shared" si="29"/>
        <v>0</v>
      </c>
      <c r="I28" s="122">
        <v>0.02</v>
      </c>
      <c r="J28" s="123">
        <f t="shared" si="30"/>
        <v>0</v>
      </c>
      <c r="K28" s="122">
        <v>0</v>
      </c>
      <c r="L28" s="123">
        <f t="shared" si="31"/>
        <v>0</v>
      </c>
      <c r="M28" s="122">
        <v>0</v>
      </c>
      <c r="N28" s="123">
        <f t="shared" si="32"/>
        <v>0</v>
      </c>
      <c r="O28" s="93">
        <f t="shared" si="18"/>
        <v>0</v>
      </c>
      <c r="P28" s="86">
        <v>0</v>
      </c>
      <c r="Q28" s="87">
        <f t="shared" si="19"/>
        <v>0</v>
      </c>
      <c r="R28" s="93">
        <f t="shared" si="33"/>
        <v>0</v>
      </c>
      <c r="S28" s="86">
        <v>0.1</v>
      </c>
      <c r="T28" s="87">
        <f t="shared" si="20"/>
        <v>0</v>
      </c>
      <c r="U28" s="86">
        <v>0.05</v>
      </c>
      <c r="V28" s="87">
        <f t="shared" si="21"/>
        <v>0</v>
      </c>
      <c r="W28" s="93">
        <f t="shared" si="34"/>
        <v>0</v>
      </c>
      <c r="X28" s="88">
        <v>0.02</v>
      </c>
      <c r="Y28" s="89">
        <f t="shared" si="22"/>
        <v>0</v>
      </c>
      <c r="Z28" s="88">
        <v>0.61</v>
      </c>
      <c r="AA28" s="89">
        <f t="shared" si="23"/>
        <v>0</v>
      </c>
      <c r="AB28" s="93">
        <f t="shared" si="35"/>
        <v>0</v>
      </c>
      <c r="AC28" s="88">
        <v>0</v>
      </c>
      <c r="AD28" s="89">
        <f t="shared" si="24"/>
        <v>0</v>
      </c>
      <c r="AE28" s="93">
        <f t="shared" si="36"/>
        <v>0</v>
      </c>
      <c r="AF28" s="81">
        <f t="shared" si="37"/>
        <v>0</v>
      </c>
      <c r="AG28" s="82">
        <f t="shared" si="25"/>
        <v>1</v>
      </c>
      <c r="AH28" s="159">
        <f t="shared" si="26"/>
        <v>0</v>
      </c>
    </row>
    <row r="29" spans="1:34" x14ac:dyDescent="0.25">
      <c r="A29" s="46" t="s">
        <v>108</v>
      </c>
      <c r="B29" s="90"/>
      <c r="C29" s="91">
        <v>0.1</v>
      </c>
      <c r="D29" s="85">
        <f t="shared" si="27"/>
        <v>0</v>
      </c>
      <c r="E29" s="122">
        <v>0.05</v>
      </c>
      <c r="F29" s="123">
        <f t="shared" si="28"/>
        <v>0</v>
      </c>
      <c r="G29" s="122">
        <v>0.05</v>
      </c>
      <c r="H29" s="123">
        <f t="shared" si="29"/>
        <v>0</v>
      </c>
      <c r="I29" s="122">
        <v>0.01</v>
      </c>
      <c r="J29" s="123">
        <f t="shared" si="30"/>
        <v>0</v>
      </c>
      <c r="K29" s="122">
        <v>0</v>
      </c>
      <c r="L29" s="123">
        <f t="shared" si="31"/>
        <v>0</v>
      </c>
      <c r="M29" s="122">
        <v>0</v>
      </c>
      <c r="N29" s="123">
        <f t="shared" si="32"/>
        <v>0</v>
      </c>
      <c r="O29" s="93">
        <f t="shared" si="18"/>
        <v>0</v>
      </c>
      <c r="P29" s="86">
        <v>0</v>
      </c>
      <c r="Q29" s="87">
        <f t="shared" si="19"/>
        <v>0</v>
      </c>
      <c r="R29" s="93">
        <f t="shared" si="33"/>
        <v>0</v>
      </c>
      <c r="S29" s="86">
        <v>0.02</v>
      </c>
      <c r="T29" s="87">
        <f t="shared" si="20"/>
        <v>0</v>
      </c>
      <c r="U29" s="86">
        <v>0.25</v>
      </c>
      <c r="V29" s="87">
        <f t="shared" si="21"/>
        <v>0</v>
      </c>
      <c r="W29" s="93">
        <f t="shared" si="34"/>
        <v>0</v>
      </c>
      <c r="X29" s="88">
        <v>0.02</v>
      </c>
      <c r="Y29" s="89">
        <f t="shared" si="22"/>
        <v>0</v>
      </c>
      <c r="Z29" s="88">
        <v>0.5</v>
      </c>
      <c r="AA29" s="89">
        <f t="shared" si="23"/>
        <v>0</v>
      </c>
      <c r="AB29" s="93">
        <f t="shared" si="35"/>
        <v>0</v>
      </c>
      <c r="AC29" s="88">
        <v>0</v>
      </c>
      <c r="AD29" s="89">
        <f t="shared" si="24"/>
        <v>0</v>
      </c>
      <c r="AE29" s="93">
        <f t="shared" si="36"/>
        <v>0</v>
      </c>
      <c r="AF29" s="81">
        <f t="shared" si="37"/>
        <v>0</v>
      </c>
      <c r="AG29" s="82">
        <f t="shared" si="25"/>
        <v>1</v>
      </c>
      <c r="AH29" s="159">
        <f t="shared" si="26"/>
        <v>0</v>
      </c>
    </row>
    <row r="30" spans="1:34" x14ac:dyDescent="0.25">
      <c r="A30" s="46" t="s">
        <v>155</v>
      </c>
      <c r="B30" s="90"/>
      <c r="C30" s="91">
        <v>0.1</v>
      </c>
      <c r="D30" s="85">
        <f t="shared" si="27"/>
        <v>0</v>
      </c>
      <c r="E30" s="122">
        <v>0</v>
      </c>
      <c r="F30" s="123">
        <f t="shared" si="28"/>
        <v>0</v>
      </c>
      <c r="G30" s="122">
        <v>0</v>
      </c>
      <c r="H30" s="123">
        <f t="shared" si="29"/>
        <v>0</v>
      </c>
      <c r="I30" s="122">
        <v>0</v>
      </c>
      <c r="J30" s="123">
        <f t="shared" si="30"/>
        <v>0</v>
      </c>
      <c r="K30" s="122">
        <v>0</v>
      </c>
      <c r="L30" s="123">
        <f t="shared" si="31"/>
        <v>0</v>
      </c>
      <c r="M30" s="122">
        <v>0</v>
      </c>
      <c r="N30" s="123">
        <f t="shared" si="32"/>
        <v>0</v>
      </c>
      <c r="O30" s="93">
        <f t="shared" si="18"/>
        <v>0</v>
      </c>
      <c r="P30" s="86">
        <v>0.1</v>
      </c>
      <c r="Q30" s="87">
        <f t="shared" si="19"/>
        <v>0</v>
      </c>
      <c r="R30" s="93">
        <f t="shared" si="33"/>
        <v>0</v>
      </c>
      <c r="S30" s="86">
        <v>0.1</v>
      </c>
      <c r="T30" s="87">
        <f t="shared" si="20"/>
        <v>0</v>
      </c>
      <c r="U30" s="86">
        <v>0.28000000000000003</v>
      </c>
      <c r="V30" s="87">
        <f t="shared" si="21"/>
        <v>0</v>
      </c>
      <c r="W30" s="93">
        <f t="shared" si="34"/>
        <v>0</v>
      </c>
      <c r="X30" s="88">
        <v>0.02</v>
      </c>
      <c r="Y30" s="89">
        <f t="shared" si="22"/>
        <v>0</v>
      </c>
      <c r="Z30" s="88">
        <v>0.4</v>
      </c>
      <c r="AA30" s="89">
        <f t="shared" si="23"/>
        <v>0</v>
      </c>
      <c r="AB30" s="93">
        <f t="shared" si="35"/>
        <v>0</v>
      </c>
      <c r="AC30" s="88">
        <v>0</v>
      </c>
      <c r="AD30" s="89">
        <f t="shared" si="24"/>
        <v>0</v>
      </c>
      <c r="AE30" s="93">
        <f t="shared" si="36"/>
        <v>0</v>
      </c>
      <c r="AF30" s="81">
        <f t="shared" si="37"/>
        <v>0</v>
      </c>
      <c r="AG30" s="82">
        <f t="shared" si="25"/>
        <v>1</v>
      </c>
      <c r="AH30" s="159">
        <f t="shared" si="26"/>
        <v>0</v>
      </c>
    </row>
    <row r="31" spans="1:34" x14ac:dyDescent="0.25">
      <c r="A31" s="46" t="s">
        <v>115</v>
      </c>
      <c r="B31" s="90"/>
      <c r="C31" s="91">
        <v>0.1</v>
      </c>
      <c r="D31" s="85">
        <f t="shared" si="27"/>
        <v>0</v>
      </c>
      <c r="E31" s="122">
        <v>0</v>
      </c>
      <c r="F31" s="123">
        <f t="shared" si="28"/>
        <v>0</v>
      </c>
      <c r="G31" s="122">
        <v>0</v>
      </c>
      <c r="H31" s="123">
        <f t="shared" si="29"/>
        <v>0</v>
      </c>
      <c r="I31" s="122">
        <v>0</v>
      </c>
      <c r="J31" s="123">
        <f t="shared" si="30"/>
        <v>0</v>
      </c>
      <c r="K31" s="122">
        <v>0</v>
      </c>
      <c r="L31" s="123">
        <f t="shared" si="31"/>
        <v>0</v>
      </c>
      <c r="M31" s="122">
        <v>0</v>
      </c>
      <c r="N31" s="123">
        <f t="shared" si="32"/>
        <v>0</v>
      </c>
      <c r="O31" s="93">
        <f t="shared" si="18"/>
        <v>0</v>
      </c>
      <c r="P31" s="86">
        <v>0.01</v>
      </c>
      <c r="Q31" s="87">
        <f t="shared" si="19"/>
        <v>0</v>
      </c>
      <c r="R31" s="93">
        <f t="shared" si="33"/>
        <v>0</v>
      </c>
      <c r="S31" s="86">
        <v>0.1</v>
      </c>
      <c r="T31" s="87">
        <f t="shared" si="20"/>
        <v>0</v>
      </c>
      <c r="U31" s="86">
        <v>0.2</v>
      </c>
      <c r="V31" s="87">
        <f t="shared" si="21"/>
        <v>0</v>
      </c>
      <c r="W31" s="93">
        <f t="shared" si="34"/>
        <v>0</v>
      </c>
      <c r="X31" s="88">
        <v>0.05</v>
      </c>
      <c r="Y31" s="89">
        <f t="shared" si="22"/>
        <v>0</v>
      </c>
      <c r="Z31" s="88">
        <v>0.5</v>
      </c>
      <c r="AA31" s="89">
        <f t="shared" si="23"/>
        <v>0</v>
      </c>
      <c r="AB31" s="93">
        <f t="shared" si="35"/>
        <v>0</v>
      </c>
      <c r="AC31" s="88">
        <v>0.04</v>
      </c>
      <c r="AD31" s="89">
        <f t="shared" si="24"/>
        <v>0</v>
      </c>
      <c r="AE31" s="93">
        <f t="shared" si="36"/>
        <v>0</v>
      </c>
      <c r="AF31" s="81">
        <f t="shared" si="37"/>
        <v>0</v>
      </c>
      <c r="AG31" s="82">
        <f t="shared" si="25"/>
        <v>1</v>
      </c>
      <c r="AH31" s="159">
        <f t="shared" si="26"/>
        <v>0</v>
      </c>
    </row>
    <row r="32" spans="1:34" x14ac:dyDescent="0.25">
      <c r="A32" s="46" t="s">
        <v>72</v>
      </c>
      <c r="B32" s="90"/>
      <c r="C32" s="91">
        <v>0.1</v>
      </c>
      <c r="D32" s="85">
        <f t="shared" si="27"/>
        <v>0</v>
      </c>
      <c r="E32" s="122">
        <v>0</v>
      </c>
      <c r="F32" s="123">
        <f t="shared" si="28"/>
        <v>0</v>
      </c>
      <c r="G32" s="122">
        <v>0</v>
      </c>
      <c r="H32" s="123">
        <f t="shared" si="29"/>
        <v>0</v>
      </c>
      <c r="I32" s="122">
        <v>0</v>
      </c>
      <c r="J32" s="123">
        <f t="shared" si="30"/>
        <v>0</v>
      </c>
      <c r="K32" s="122">
        <v>0</v>
      </c>
      <c r="L32" s="123">
        <f t="shared" si="31"/>
        <v>0</v>
      </c>
      <c r="M32" s="122">
        <v>0</v>
      </c>
      <c r="N32" s="123">
        <f t="shared" si="32"/>
        <v>0</v>
      </c>
      <c r="O32" s="93">
        <f t="shared" si="18"/>
        <v>0</v>
      </c>
      <c r="P32" s="86">
        <v>0.01</v>
      </c>
      <c r="Q32" s="87">
        <f t="shared" si="19"/>
        <v>0</v>
      </c>
      <c r="R32" s="93">
        <f t="shared" si="33"/>
        <v>0</v>
      </c>
      <c r="S32" s="86">
        <v>0.1</v>
      </c>
      <c r="T32" s="87">
        <f t="shared" si="20"/>
        <v>0</v>
      </c>
      <c r="U32" s="86">
        <v>0.2</v>
      </c>
      <c r="V32" s="87">
        <f t="shared" si="21"/>
        <v>0</v>
      </c>
      <c r="W32" s="93">
        <f t="shared" si="34"/>
        <v>0</v>
      </c>
      <c r="X32" s="88">
        <v>0.05</v>
      </c>
      <c r="Y32" s="89">
        <f t="shared" si="22"/>
        <v>0</v>
      </c>
      <c r="Z32" s="88">
        <v>0.3</v>
      </c>
      <c r="AA32" s="89">
        <f t="shared" si="23"/>
        <v>0</v>
      </c>
      <c r="AB32" s="93">
        <f t="shared" si="35"/>
        <v>0</v>
      </c>
      <c r="AC32" s="88">
        <v>0.24</v>
      </c>
      <c r="AD32" s="89">
        <f t="shared" si="24"/>
        <v>0</v>
      </c>
      <c r="AE32" s="93">
        <f t="shared" si="36"/>
        <v>0</v>
      </c>
      <c r="AF32" s="81">
        <f t="shared" si="37"/>
        <v>0</v>
      </c>
      <c r="AG32" s="82">
        <f t="shared" si="25"/>
        <v>1</v>
      </c>
      <c r="AH32" s="159">
        <f t="shared" si="26"/>
        <v>0</v>
      </c>
    </row>
    <row r="33" spans="1:34" x14ac:dyDescent="0.25">
      <c r="A33" s="46" t="s">
        <v>52</v>
      </c>
      <c r="B33" s="90">
        <v>7900</v>
      </c>
      <c r="C33" s="91">
        <v>0.1</v>
      </c>
      <c r="D33" s="85">
        <f t="shared" si="27"/>
        <v>790</v>
      </c>
      <c r="E33" s="122">
        <v>0</v>
      </c>
      <c r="F33" s="123">
        <f t="shared" si="28"/>
        <v>0</v>
      </c>
      <c r="G33" s="122">
        <v>0</v>
      </c>
      <c r="H33" s="123">
        <f t="shared" si="29"/>
        <v>0</v>
      </c>
      <c r="I33" s="122">
        <v>0</v>
      </c>
      <c r="J33" s="123">
        <f t="shared" si="30"/>
        <v>0</v>
      </c>
      <c r="K33" s="122">
        <v>0</v>
      </c>
      <c r="L33" s="123">
        <f t="shared" si="31"/>
        <v>0</v>
      </c>
      <c r="M33" s="122">
        <v>0</v>
      </c>
      <c r="N33" s="123">
        <f t="shared" si="32"/>
        <v>0</v>
      </c>
      <c r="O33" s="93">
        <f t="shared" si="18"/>
        <v>0</v>
      </c>
      <c r="P33" s="86">
        <v>0.01</v>
      </c>
      <c r="Q33" s="87">
        <f t="shared" si="19"/>
        <v>79</v>
      </c>
      <c r="R33" s="93">
        <f t="shared" si="33"/>
        <v>79</v>
      </c>
      <c r="S33" s="86">
        <v>0.1</v>
      </c>
      <c r="T33" s="87">
        <f t="shared" si="20"/>
        <v>790</v>
      </c>
      <c r="U33" s="86">
        <v>0.2</v>
      </c>
      <c r="V33" s="87">
        <f t="shared" si="21"/>
        <v>1580</v>
      </c>
      <c r="W33" s="93">
        <f t="shared" si="34"/>
        <v>2370</v>
      </c>
      <c r="X33" s="88">
        <v>0.05</v>
      </c>
      <c r="Y33" s="89">
        <f t="shared" si="22"/>
        <v>395</v>
      </c>
      <c r="Z33" s="88">
        <v>0.54</v>
      </c>
      <c r="AA33" s="89">
        <f t="shared" si="23"/>
        <v>4266</v>
      </c>
      <c r="AB33" s="93">
        <f t="shared" si="35"/>
        <v>4661</v>
      </c>
      <c r="AC33" s="88">
        <v>0</v>
      </c>
      <c r="AD33" s="89">
        <f t="shared" si="24"/>
        <v>0</v>
      </c>
      <c r="AE33" s="93">
        <f t="shared" si="36"/>
        <v>0</v>
      </c>
      <c r="AF33" s="81">
        <f t="shared" si="37"/>
        <v>0</v>
      </c>
      <c r="AG33" s="82">
        <f t="shared" si="25"/>
        <v>1</v>
      </c>
      <c r="AH33" s="159">
        <f t="shared" si="26"/>
        <v>2370</v>
      </c>
    </row>
    <row r="34" spans="1:34" x14ac:dyDescent="0.25">
      <c r="A34" s="46" t="s">
        <v>189</v>
      </c>
      <c r="B34" s="90"/>
      <c r="C34" s="91">
        <v>0.1</v>
      </c>
      <c r="D34" s="85">
        <f t="shared" si="27"/>
        <v>0</v>
      </c>
      <c r="E34" s="122">
        <v>0</v>
      </c>
      <c r="F34" s="123">
        <f t="shared" si="28"/>
        <v>0</v>
      </c>
      <c r="G34" s="122">
        <v>0</v>
      </c>
      <c r="H34" s="123">
        <f t="shared" si="29"/>
        <v>0</v>
      </c>
      <c r="I34" s="122">
        <v>0</v>
      </c>
      <c r="J34" s="123">
        <f t="shared" si="30"/>
        <v>0</v>
      </c>
      <c r="K34" s="122">
        <v>0</v>
      </c>
      <c r="L34" s="123">
        <f t="shared" si="31"/>
        <v>0</v>
      </c>
      <c r="M34" s="122">
        <v>0</v>
      </c>
      <c r="N34" s="123">
        <f t="shared" si="32"/>
        <v>0</v>
      </c>
      <c r="O34" s="93">
        <f t="shared" si="18"/>
        <v>0</v>
      </c>
      <c r="P34" s="86">
        <v>0.01</v>
      </c>
      <c r="Q34" s="87">
        <f t="shared" si="19"/>
        <v>0</v>
      </c>
      <c r="R34" s="93">
        <f t="shared" si="33"/>
        <v>0</v>
      </c>
      <c r="S34" s="86">
        <v>0.1</v>
      </c>
      <c r="T34" s="87">
        <f t="shared" si="20"/>
        <v>0</v>
      </c>
      <c r="U34" s="86">
        <v>0.2</v>
      </c>
      <c r="V34" s="87">
        <f t="shared" si="21"/>
        <v>0</v>
      </c>
      <c r="W34" s="93">
        <f t="shared" si="34"/>
        <v>0</v>
      </c>
      <c r="X34" s="88">
        <v>0.05</v>
      </c>
      <c r="Y34" s="89">
        <f t="shared" si="22"/>
        <v>0</v>
      </c>
      <c r="Z34" s="88">
        <v>0.54</v>
      </c>
      <c r="AA34" s="89">
        <f t="shared" si="23"/>
        <v>0</v>
      </c>
      <c r="AB34" s="93">
        <f t="shared" si="35"/>
        <v>0</v>
      </c>
      <c r="AC34" s="88">
        <v>0</v>
      </c>
      <c r="AD34" s="89">
        <f t="shared" si="24"/>
        <v>0</v>
      </c>
      <c r="AE34" s="93">
        <f t="shared" si="36"/>
        <v>0</v>
      </c>
      <c r="AF34" s="81">
        <f t="shared" si="37"/>
        <v>0</v>
      </c>
      <c r="AG34" s="82">
        <f t="shared" si="25"/>
        <v>1</v>
      </c>
      <c r="AH34" s="159">
        <f t="shared" si="26"/>
        <v>0</v>
      </c>
    </row>
    <row r="35" spans="1:34" x14ac:dyDescent="0.25">
      <c r="A35" s="46" t="s">
        <v>190</v>
      </c>
      <c r="B35" s="90"/>
      <c r="C35" s="91">
        <v>0.1</v>
      </c>
      <c r="D35" s="85">
        <f t="shared" si="27"/>
        <v>0</v>
      </c>
      <c r="E35" s="122">
        <v>0</v>
      </c>
      <c r="F35" s="123">
        <f t="shared" si="28"/>
        <v>0</v>
      </c>
      <c r="G35" s="122">
        <v>0</v>
      </c>
      <c r="H35" s="123">
        <f t="shared" si="29"/>
        <v>0</v>
      </c>
      <c r="I35" s="122">
        <v>0</v>
      </c>
      <c r="J35" s="123">
        <f t="shared" si="30"/>
        <v>0</v>
      </c>
      <c r="K35" s="122">
        <v>0</v>
      </c>
      <c r="L35" s="123">
        <f t="shared" si="31"/>
        <v>0</v>
      </c>
      <c r="M35" s="122">
        <v>0</v>
      </c>
      <c r="N35" s="123">
        <f t="shared" si="32"/>
        <v>0</v>
      </c>
      <c r="O35" s="93">
        <f t="shared" si="18"/>
        <v>0</v>
      </c>
      <c r="P35" s="86">
        <v>0.01</v>
      </c>
      <c r="Q35" s="87">
        <f t="shared" si="19"/>
        <v>0</v>
      </c>
      <c r="R35" s="93">
        <f t="shared" si="33"/>
        <v>0</v>
      </c>
      <c r="S35" s="86">
        <v>0.1</v>
      </c>
      <c r="T35" s="87">
        <f t="shared" si="20"/>
        <v>0</v>
      </c>
      <c r="U35" s="86">
        <v>0.2</v>
      </c>
      <c r="V35" s="87">
        <f t="shared" si="21"/>
        <v>0</v>
      </c>
      <c r="W35" s="93">
        <f t="shared" si="34"/>
        <v>0</v>
      </c>
      <c r="X35" s="88">
        <v>0.05</v>
      </c>
      <c r="Y35" s="89">
        <f t="shared" si="22"/>
        <v>0</v>
      </c>
      <c r="Z35" s="88">
        <v>0.54</v>
      </c>
      <c r="AA35" s="89">
        <f t="shared" si="23"/>
        <v>0</v>
      </c>
      <c r="AB35" s="93">
        <f t="shared" si="35"/>
        <v>0</v>
      </c>
      <c r="AC35" s="88">
        <v>0</v>
      </c>
      <c r="AD35" s="89">
        <f t="shared" si="24"/>
        <v>0</v>
      </c>
      <c r="AE35" s="93">
        <f t="shared" si="36"/>
        <v>0</v>
      </c>
      <c r="AF35" s="81">
        <f t="shared" si="37"/>
        <v>0</v>
      </c>
      <c r="AG35" s="82">
        <f t="shared" si="25"/>
        <v>1</v>
      </c>
      <c r="AH35" s="159">
        <f t="shared" si="26"/>
        <v>0</v>
      </c>
    </row>
    <row r="36" spans="1:34" x14ac:dyDescent="0.25">
      <c r="A36" s="46" t="s">
        <v>6</v>
      </c>
      <c r="B36" s="90">
        <v>139900</v>
      </c>
      <c r="C36" s="91">
        <v>0.1</v>
      </c>
      <c r="D36" s="85">
        <f t="shared" si="27"/>
        <v>13990</v>
      </c>
      <c r="E36" s="122">
        <v>0</v>
      </c>
      <c r="F36" s="123">
        <f t="shared" si="28"/>
        <v>0</v>
      </c>
      <c r="G36" s="122">
        <v>0</v>
      </c>
      <c r="H36" s="123">
        <f t="shared" si="29"/>
        <v>0</v>
      </c>
      <c r="I36" s="122">
        <v>0</v>
      </c>
      <c r="J36" s="123">
        <f t="shared" si="30"/>
        <v>0</v>
      </c>
      <c r="K36" s="122">
        <v>0</v>
      </c>
      <c r="L36" s="123">
        <f t="shared" si="31"/>
        <v>0</v>
      </c>
      <c r="M36" s="122">
        <v>0</v>
      </c>
      <c r="N36" s="123">
        <f t="shared" si="32"/>
        <v>0</v>
      </c>
      <c r="O36" s="93">
        <f t="shared" si="18"/>
        <v>0</v>
      </c>
      <c r="P36" s="86">
        <v>0</v>
      </c>
      <c r="Q36" s="87">
        <f t="shared" si="19"/>
        <v>0</v>
      </c>
      <c r="R36" s="93">
        <f t="shared" si="33"/>
        <v>0</v>
      </c>
      <c r="S36" s="86">
        <v>0</v>
      </c>
      <c r="T36" s="87">
        <f t="shared" si="20"/>
        <v>0</v>
      </c>
      <c r="U36" s="86">
        <v>0</v>
      </c>
      <c r="V36" s="87">
        <f t="shared" si="21"/>
        <v>0</v>
      </c>
      <c r="W36" s="93">
        <f t="shared" si="34"/>
        <v>0</v>
      </c>
      <c r="X36" s="88">
        <v>0</v>
      </c>
      <c r="Y36" s="89">
        <f t="shared" si="22"/>
        <v>0</v>
      </c>
      <c r="Z36" s="88">
        <v>0.2</v>
      </c>
      <c r="AA36" s="89">
        <f t="shared" si="23"/>
        <v>27980</v>
      </c>
      <c r="AB36" s="93">
        <f t="shared" si="35"/>
        <v>27980</v>
      </c>
      <c r="AC36" s="88">
        <v>0.7</v>
      </c>
      <c r="AD36" s="89">
        <f t="shared" si="24"/>
        <v>97930</v>
      </c>
      <c r="AE36" s="93">
        <f t="shared" si="36"/>
        <v>97930</v>
      </c>
      <c r="AF36" s="81">
        <f t="shared" si="37"/>
        <v>0</v>
      </c>
      <c r="AG36" s="82">
        <f t="shared" si="25"/>
        <v>1</v>
      </c>
      <c r="AH36" s="159">
        <f t="shared" si="26"/>
        <v>97930</v>
      </c>
    </row>
    <row r="37" spans="1:34" x14ac:dyDescent="0.25">
      <c r="A37" s="46" t="s">
        <v>321</v>
      </c>
      <c r="B37" s="90"/>
      <c r="C37" s="91">
        <v>0</v>
      </c>
      <c r="D37" s="85">
        <f t="shared" si="27"/>
        <v>0</v>
      </c>
      <c r="E37" s="122">
        <v>0</v>
      </c>
      <c r="F37" s="123">
        <f t="shared" si="28"/>
        <v>0</v>
      </c>
      <c r="G37" s="122">
        <v>0</v>
      </c>
      <c r="H37" s="123">
        <f t="shared" si="29"/>
        <v>0</v>
      </c>
      <c r="I37" s="122">
        <v>0</v>
      </c>
      <c r="J37" s="123">
        <f t="shared" si="30"/>
        <v>0</v>
      </c>
      <c r="K37" s="122">
        <v>0</v>
      </c>
      <c r="L37" s="123">
        <f t="shared" si="31"/>
        <v>0</v>
      </c>
      <c r="M37" s="122">
        <v>0</v>
      </c>
      <c r="N37" s="123">
        <f t="shared" si="32"/>
        <v>0</v>
      </c>
      <c r="O37" s="93">
        <f t="shared" si="18"/>
        <v>0</v>
      </c>
      <c r="P37" s="86">
        <v>0</v>
      </c>
      <c r="Q37" s="87">
        <f t="shared" si="19"/>
        <v>0</v>
      </c>
      <c r="R37" s="93">
        <f t="shared" si="33"/>
        <v>0</v>
      </c>
      <c r="S37" s="86">
        <v>0</v>
      </c>
      <c r="T37" s="87">
        <f t="shared" si="20"/>
        <v>0</v>
      </c>
      <c r="U37" s="86">
        <v>0</v>
      </c>
      <c r="V37" s="87">
        <f t="shared" si="21"/>
        <v>0</v>
      </c>
      <c r="W37" s="93">
        <f t="shared" si="34"/>
        <v>0</v>
      </c>
      <c r="X37" s="88">
        <v>0</v>
      </c>
      <c r="Y37" s="89">
        <f t="shared" si="22"/>
        <v>0</v>
      </c>
      <c r="Z37" s="88">
        <v>0</v>
      </c>
      <c r="AA37" s="89">
        <f t="shared" si="23"/>
        <v>0</v>
      </c>
      <c r="AB37" s="93">
        <f t="shared" si="35"/>
        <v>0</v>
      </c>
      <c r="AC37" s="88">
        <v>1</v>
      </c>
      <c r="AD37" s="89">
        <f t="shared" si="24"/>
        <v>0</v>
      </c>
      <c r="AE37" s="93">
        <f t="shared" si="36"/>
        <v>0</v>
      </c>
      <c r="AF37" s="81">
        <f t="shared" si="37"/>
        <v>0</v>
      </c>
      <c r="AG37" s="82">
        <f t="shared" si="25"/>
        <v>1</v>
      </c>
      <c r="AH37" s="159">
        <f t="shared" si="26"/>
        <v>0</v>
      </c>
    </row>
    <row r="38" spans="1:34" x14ac:dyDescent="0.25">
      <c r="A38" s="46" t="s">
        <v>191</v>
      </c>
      <c r="B38" s="90">
        <v>386173</v>
      </c>
      <c r="C38" s="91">
        <v>0.1</v>
      </c>
      <c r="D38" s="85">
        <f t="shared" si="27"/>
        <v>38617.300000000003</v>
      </c>
      <c r="E38" s="122">
        <v>0</v>
      </c>
      <c r="F38" s="123">
        <f t="shared" si="28"/>
        <v>0</v>
      </c>
      <c r="G38" s="122">
        <v>0</v>
      </c>
      <c r="H38" s="123">
        <f t="shared" si="29"/>
        <v>0</v>
      </c>
      <c r="I38" s="122">
        <v>0</v>
      </c>
      <c r="J38" s="123">
        <f t="shared" si="30"/>
        <v>0</v>
      </c>
      <c r="K38" s="122">
        <v>0</v>
      </c>
      <c r="L38" s="123">
        <f t="shared" si="31"/>
        <v>0</v>
      </c>
      <c r="M38" s="122">
        <v>0</v>
      </c>
      <c r="N38" s="123">
        <f t="shared" si="32"/>
        <v>0</v>
      </c>
      <c r="O38" s="93">
        <f t="shared" si="18"/>
        <v>0</v>
      </c>
      <c r="P38" s="86">
        <v>0.01</v>
      </c>
      <c r="Q38" s="87">
        <f t="shared" si="19"/>
        <v>3861.73</v>
      </c>
      <c r="R38" s="93">
        <f t="shared" si="33"/>
        <v>3861.73</v>
      </c>
      <c r="S38" s="86">
        <v>0.05</v>
      </c>
      <c r="T38" s="87">
        <f t="shared" si="20"/>
        <v>19308.650000000001</v>
      </c>
      <c r="U38" s="86">
        <v>0.1</v>
      </c>
      <c r="V38" s="87">
        <f t="shared" si="21"/>
        <v>38617.300000000003</v>
      </c>
      <c r="W38" s="93">
        <f t="shared" si="34"/>
        <v>57925.950000000004</v>
      </c>
      <c r="X38" s="88">
        <v>0.02</v>
      </c>
      <c r="Y38" s="89">
        <f t="shared" si="22"/>
        <v>7723.46</v>
      </c>
      <c r="Z38" s="88">
        <v>0.4</v>
      </c>
      <c r="AA38" s="89">
        <f t="shared" si="23"/>
        <v>154469.20000000001</v>
      </c>
      <c r="AB38" s="93">
        <f t="shared" si="35"/>
        <v>162192.66</v>
      </c>
      <c r="AC38" s="88">
        <v>0.32</v>
      </c>
      <c r="AD38" s="89">
        <f t="shared" si="24"/>
        <v>123575.36</v>
      </c>
      <c r="AE38" s="93">
        <f t="shared" si="36"/>
        <v>123575.36</v>
      </c>
      <c r="AF38" s="81">
        <f t="shared" si="37"/>
        <v>0</v>
      </c>
      <c r="AG38" s="82">
        <f t="shared" si="25"/>
        <v>1</v>
      </c>
      <c r="AH38" s="159">
        <f t="shared" si="26"/>
        <v>181501.31</v>
      </c>
    </row>
    <row r="39" spans="1:34" x14ac:dyDescent="0.25">
      <c r="A39" s="46" t="s">
        <v>269</v>
      </c>
      <c r="B39" s="90">
        <f>182000+389283</f>
        <v>571283</v>
      </c>
      <c r="C39" s="91">
        <v>0</v>
      </c>
      <c r="D39" s="85">
        <f t="shared" si="27"/>
        <v>0</v>
      </c>
      <c r="E39" s="122">
        <v>0</v>
      </c>
      <c r="F39" s="123">
        <f t="shared" si="28"/>
        <v>0</v>
      </c>
      <c r="G39" s="122">
        <v>0</v>
      </c>
      <c r="H39" s="123">
        <f t="shared" si="29"/>
        <v>0</v>
      </c>
      <c r="I39" s="122">
        <v>0</v>
      </c>
      <c r="J39" s="123">
        <f t="shared" si="30"/>
        <v>0</v>
      </c>
      <c r="K39" s="122">
        <v>0</v>
      </c>
      <c r="L39" s="123">
        <f t="shared" si="31"/>
        <v>0</v>
      </c>
      <c r="M39" s="122">
        <v>0</v>
      </c>
      <c r="N39" s="123">
        <f t="shared" si="32"/>
        <v>0</v>
      </c>
      <c r="O39" s="93">
        <f t="shared" si="18"/>
        <v>0</v>
      </c>
      <c r="P39" s="86">
        <v>0</v>
      </c>
      <c r="Q39" s="87">
        <f t="shared" si="19"/>
        <v>0</v>
      </c>
      <c r="R39" s="93">
        <f t="shared" si="33"/>
        <v>0</v>
      </c>
      <c r="S39" s="86">
        <v>0</v>
      </c>
      <c r="T39" s="87">
        <f t="shared" si="20"/>
        <v>0</v>
      </c>
      <c r="U39" s="86">
        <v>1</v>
      </c>
      <c r="V39" s="87">
        <f t="shared" si="21"/>
        <v>571283</v>
      </c>
      <c r="W39" s="93">
        <f t="shared" si="34"/>
        <v>571283</v>
      </c>
      <c r="X39" s="88">
        <v>0</v>
      </c>
      <c r="Y39" s="89">
        <f t="shared" si="22"/>
        <v>0</v>
      </c>
      <c r="Z39" s="88">
        <v>0</v>
      </c>
      <c r="AA39" s="89">
        <f t="shared" si="23"/>
        <v>0</v>
      </c>
      <c r="AB39" s="93">
        <f t="shared" si="35"/>
        <v>0</v>
      </c>
      <c r="AC39" s="88">
        <v>0</v>
      </c>
      <c r="AD39" s="89">
        <f t="shared" si="24"/>
        <v>0</v>
      </c>
      <c r="AE39" s="93">
        <f t="shared" si="36"/>
        <v>0</v>
      </c>
      <c r="AF39" s="81">
        <f t="shared" si="37"/>
        <v>0</v>
      </c>
      <c r="AG39" s="82">
        <f t="shared" si="25"/>
        <v>1</v>
      </c>
      <c r="AH39" s="159">
        <f t="shared" si="26"/>
        <v>571283</v>
      </c>
    </row>
    <row r="40" spans="1:34" x14ac:dyDescent="0.25">
      <c r="A40" s="46" t="s">
        <v>192</v>
      </c>
      <c r="B40" s="90">
        <v>121017</v>
      </c>
      <c r="C40" s="91">
        <v>0.1</v>
      </c>
      <c r="D40" s="85">
        <f t="shared" si="27"/>
        <v>12101.7</v>
      </c>
      <c r="E40" s="122">
        <v>0</v>
      </c>
      <c r="F40" s="123">
        <f t="shared" si="28"/>
        <v>0</v>
      </c>
      <c r="G40" s="122">
        <v>0</v>
      </c>
      <c r="H40" s="123">
        <f t="shared" si="29"/>
        <v>0</v>
      </c>
      <c r="I40" s="122">
        <v>0</v>
      </c>
      <c r="J40" s="123">
        <f t="shared" si="30"/>
        <v>0</v>
      </c>
      <c r="K40" s="122">
        <v>0</v>
      </c>
      <c r="L40" s="123">
        <f t="shared" si="31"/>
        <v>0</v>
      </c>
      <c r="M40" s="122">
        <v>0</v>
      </c>
      <c r="N40" s="123">
        <f t="shared" si="32"/>
        <v>0</v>
      </c>
      <c r="O40" s="93">
        <f t="shared" si="18"/>
        <v>0</v>
      </c>
      <c r="P40" s="86">
        <v>0.01</v>
      </c>
      <c r="Q40" s="87">
        <f t="shared" si="19"/>
        <v>1210.17</v>
      </c>
      <c r="R40" s="93">
        <f t="shared" si="33"/>
        <v>1210.17</v>
      </c>
      <c r="S40" s="86">
        <v>0.1</v>
      </c>
      <c r="T40" s="87">
        <f t="shared" si="20"/>
        <v>12101.7</v>
      </c>
      <c r="U40" s="86">
        <v>0.1</v>
      </c>
      <c r="V40" s="87">
        <f t="shared" si="21"/>
        <v>12101.7</v>
      </c>
      <c r="W40" s="93">
        <f t="shared" si="34"/>
        <v>24203.4</v>
      </c>
      <c r="X40" s="88">
        <v>0.1</v>
      </c>
      <c r="Y40" s="89">
        <f t="shared" si="22"/>
        <v>12101.7</v>
      </c>
      <c r="Z40" s="88">
        <v>0.59</v>
      </c>
      <c r="AA40" s="89">
        <f t="shared" si="23"/>
        <v>71400.03</v>
      </c>
      <c r="AB40" s="93">
        <f t="shared" si="35"/>
        <v>83501.73</v>
      </c>
      <c r="AC40" s="88">
        <v>0</v>
      </c>
      <c r="AD40" s="89">
        <f t="shared" si="24"/>
        <v>0</v>
      </c>
      <c r="AE40" s="93">
        <f t="shared" si="36"/>
        <v>0</v>
      </c>
      <c r="AF40" s="81">
        <f t="shared" si="37"/>
        <v>0</v>
      </c>
      <c r="AG40" s="82">
        <f t="shared" si="25"/>
        <v>1</v>
      </c>
      <c r="AH40" s="159">
        <f t="shared" si="26"/>
        <v>24203.4</v>
      </c>
    </row>
    <row r="41" spans="1:34" x14ac:dyDescent="0.25">
      <c r="A41" s="46" t="s">
        <v>247</v>
      </c>
      <c r="B41" s="90"/>
      <c r="C41" s="91">
        <v>0.1</v>
      </c>
      <c r="D41" s="85">
        <f t="shared" si="27"/>
        <v>0</v>
      </c>
      <c r="E41" s="122">
        <v>0</v>
      </c>
      <c r="F41" s="123">
        <f t="shared" si="28"/>
        <v>0</v>
      </c>
      <c r="G41" s="122">
        <v>0</v>
      </c>
      <c r="H41" s="123">
        <f t="shared" si="29"/>
        <v>0</v>
      </c>
      <c r="I41" s="122">
        <v>0</v>
      </c>
      <c r="J41" s="123">
        <f t="shared" si="30"/>
        <v>0</v>
      </c>
      <c r="K41" s="122">
        <v>0</v>
      </c>
      <c r="L41" s="123">
        <f t="shared" si="31"/>
        <v>0</v>
      </c>
      <c r="M41" s="122">
        <v>0</v>
      </c>
      <c r="N41" s="123">
        <f t="shared" si="32"/>
        <v>0</v>
      </c>
      <c r="O41" s="93">
        <f t="shared" si="18"/>
        <v>0</v>
      </c>
      <c r="P41" s="86">
        <v>0.01</v>
      </c>
      <c r="Q41" s="87">
        <f t="shared" si="19"/>
        <v>0</v>
      </c>
      <c r="R41" s="93">
        <f t="shared" si="33"/>
        <v>0</v>
      </c>
      <c r="S41" s="86">
        <v>0.1</v>
      </c>
      <c r="T41" s="87">
        <f t="shared" si="20"/>
        <v>0</v>
      </c>
      <c r="U41" s="86">
        <v>0.1</v>
      </c>
      <c r="V41" s="87">
        <f t="shared" si="21"/>
        <v>0</v>
      </c>
      <c r="W41" s="93">
        <f t="shared" si="34"/>
        <v>0</v>
      </c>
      <c r="X41" s="88">
        <v>0.1</v>
      </c>
      <c r="Y41" s="89">
        <f t="shared" si="22"/>
        <v>0</v>
      </c>
      <c r="Z41" s="88">
        <v>0.59</v>
      </c>
      <c r="AA41" s="89">
        <f t="shared" si="23"/>
        <v>0</v>
      </c>
      <c r="AB41" s="93">
        <f t="shared" si="35"/>
        <v>0</v>
      </c>
      <c r="AC41" s="88">
        <v>0</v>
      </c>
      <c r="AD41" s="89">
        <f t="shared" si="24"/>
        <v>0</v>
      </c>
      <c r="AE41" s="93">
        <f t="shared" si="36"/>
        <v>0</v>
      </c>
      <c r="AF41" s="81">
        <f t="shared" si="37"/>
        <v>0</v>
      </c>
      <c r="AG41" s="82">
        <f t="shared" si="25"/>
        <v>1</v>
      </c>
      <c r="AH41" s="159">
        <f t="shared" si="26"/>
        <v>0</v>
      </c>
    </row>
    <row r="42" spans="1:34" x14ac:dyDescent="0.25">
      <c r="A42" s="46" t="s">
        <v>48</v>
      </c>
      <c r="B42" s="90">
        <f>16500+30000+41000</f>
        <v>87500</v>
      </c>
      <c r="C42" s="91">
        <v>0.1</v>
      </c>
      <c r="D42" s="85">
        <f t="shared" si="27"/>
        <v>8750</v>
      </c>
      <c r="E42" s="122">
        <v>0</v>
      </c>
      <c r="F42" s="123">
        <f t="shared" si="28"/>
        <v>0</v>
      </c>
      <c r="G42" s="122">
        <v>0</v>
      </c>
      <c r="H42" s="123">
        <f t="shared" si="29"/>
        <v>0</v>
      </c>
      <c r="I42" s="122">
        <v>0</v>
      </c>
      <c r="J42" s="123">
        <f t="shared" si="30"/>
        <v>0</v>
      </c>
      <c r="K42" s="122">
        <v>0</v>
      </c>
      <c r="L42" s="123">
        <f t="shared" si="31"/>
        <v>0</v>
      </c>
      <c r="M42" s="122">
        <v>0</v>
      </c>
      <c r="N42" s="123">
        <f t="shared" si="32"/>
        <v>0</v>
      </c>
      <c r="O42" s="93">
        <f t="shared" si="18"/>
        <v>0</v>
      </c>
      <c r="P42" s="86">
        <v>0.01</v>
      </c>
      <c r="Q42" s="87">
        <f t="shared" si="19"/>
        <v>875</v>
      </c>
      <c r="R42" s="93">
        <f t="shared" si="33"/>
        <v>875</v>
      </c>
      <c r="S42" s="86">
        <v>0.1</v>
      </c>
      <c r="T42" s="87">
        <f t="shared" si="20"/>
        <v>8750</v>
      </c>
      <c r="U42" s="86">
        <v>0.1</v>
      </c>
      <c r="V42" s="87">
        <f t="shared" si="21"/>
        <v>8750</v>
      </c>
      <c r="W42" s="93">
        <f t="shared" si="34"/>
        <v>17500</v>
      </c>
      <c r="X42" s="88">
        <v>0.1</v>
      </c>
      <c r="Y42" s="89">
        <f t="shared" si="22"/>
        <v>8750</v>
      </c>
      <c r="Z42" s="88">
        <v>0.59</v>
      </c>
      <c r="AA42" s="89">
        <f t="shared" si="23"/>
        <v>51625</v>
      </c>
      <c r="AB42" s="93">
        <f t="shared" si="35"/>
        <v>60375</v>
      </c>
      <c r="AC42" s="88">
        <v>0</v>
      </c>
      <c r="AD42" s="89">
        <f t="shared" si="24"/>
        <v>0</v>
      </c>
      <c r="AE42" s="93">
        <f t="shared" si="36"/>
        <v>0</v>
      </c>
      <c r="AF42" s="81">
        <f t="shared" si="37"/>
        <v>0</v>
      </c>
      <c r="AG42" s="82">
        <f t="shared" si="25"/>
        <v>1</v>
      </c>
      <c r="AH42" s="159">
        <f t="shared" si="26"/>
        <v>17500</v>
      </c>
    </row>
    <row r="43" spans="1:34" x14ac:dyDescent="0.25">
      <c r="A43" s="46" t="s">
        <v>49</v>
      </c>
      <c r="B43" s="90"/>
      <c r="C43" s="91">
        <v>0.1</v>
      </c>
      <c r="D43" s="85">
        <f t="shared" si="27"/>
        <v>0</v>
      </c>
      <c r="E43" s="122">
        <v>0</v>
      </c>
      <c r="F43" s="123">
        <f t="shared" si="28"/>
        <v>0</v>
      </c>
      <c r="G43" s="122">
        <v>0</v>
      </c>
      <c r="H43" s="123">
        <f t="shared" si="29"/>
        <v>0</v>
      </c>
      <c r="I43" s="122">
        <v>0</v>
      </c>
      <c r="J43" s="123">
        <f t="shared" si="30"/>
        <v>0</v>
      </c>
      <c r="K43" s="122">
        <v>0</v>
      </c>
      <c r="L43" s="123">
        <f t="shared" si="31"/>
        <v>0</v>
      </c>
      <c r="M43" s="122">
        <v>0</v>
      </c>
      <c r="N43" s="123">
        <f t="shared" si="32"/>
        <v>0</v>
      </c>
      <c r="O43" s="93">
        <f t="shared" si="18"/>
        <v>0</v>
      </c>
      <c r="P43" s="86">
        <v>0.01</v>
      </c>
      <c r="Q43" s="87">
        <f t="shared" si="19"/>
        <v>0</v>
      </c>
      <c r="R43" s="93">
        <f t="shared" si="33"/>
        <v>0</v>
      </c>
      <c r="S43" s="86">
        <v>0.1</v>
      </c>
      <c r="T43" s="87">
        <f t="shared" si="20"/>
        <v>0</v>
      </c>
      <c r="U43" s="86">
        <v>0.2</v>
      </c>
      <c r="V43" s="87">
        <f t="shared" si="21"/>
        <v>0</v>
      </c>
      <c r="W43" s="93">
        <f t="shared" si="34"/>
        <v>0</v>
      </c>
      <c r="X43" s="88">
        <v>0.1</v>
      </c>
      <c r="Y43" s="89">
        <f t="shared" si="22"/>
        <v>0</v>
      </c>
      <c r="Z43" s="88">
        <v>0.49</v>
      </c>
      <c r="AA43" s="89">
        <f t="shared" si="23"/>
        <v>0</v>
      </c>
      <c r="AB43" s="93">
        <f t="shared" si="35"/>
        <v>0</v>
      </c>
      <c r="AC43" s="88">
        <v>0</v>
      </c>
      <c r="AD43" s="89">
        <f t="shared" si="24"/>
        <v>0</v>
      </c>
      <c r="AE43" s="93">
        <f t="shared" si="36"/>
        <v>0</v>
      </c>
      <c r="AF43" s="81">
        <f t="shared" si="37"/>
        <v>0</v>
      </c>
      <c r="AG43" s="82">
        <f t="shared" si="25"/>
        <v>1</v>
      </c>
      <c r="AH43" s="159">
        <f t="shared" si="26"/>
        <v>0</v>
      </c>
    </row>
    <row r="44" spans="1:34" x14ac:dyDescent="0.25">
      <c r="A44" s="46" t="s">
        <v>193</v>
      </c>
      <c r="B44" s="90">
        <v>2216150</v>
      </c>
      <c r="C44" s="91">
        <v>0</v>
      </c>
      <c r="D44" s="85">
        <f t="shared" si="27"/>
        <v>0</v>
      </c>
      <c r="E44" s="122">
        <v>0</v>
      </c>
      <c r="F44" s="123">
        <f t="shared" si="28"/>
        <v>0</v>
      </c>
      <c r="G44" s="122">
        <v>0</v>
      </c>
      <c r="H44" s="123">
        <f t="shared" si="29"/>
        <v>0</v>
      </c>
      <c r="I44" s="122">
        <v>0</v>
      </c>
      <c r="J44" s="123">
        <f t="shared" si="30"/>
        <v>0</v>
      </c>
      <c r="K44" s="122">
        <v>0</v>
      </c>
      <c r="L44" s="123">
        <f t="shared" si="31"/>
        <v>0</v>
      </c>
      <c r="M44" s="122">
        <v>0</v>
      </c>
      <c r="N44" s="123">
        <f t="shared" si="32"/>
        <v>0</v>
      </c>
      <c r="O44" s="93">
        <f t="shared" si="18"/>
        <v>0</v>
      </c>
      <c r="P44" s="86">
        <v>0</v>
      </c>
      <c r="Q44" s="87">
        <f t="shared" si="19"/>
        <v>0</v>
      </c>
      <c r="R44" s="93">
        <f t="shared" si="33"/>
        <v>0</v>
      </c>
      <c r="S44" s="86">
        <v>0</v>
      </c>
      <c r="T44" s="87">
        <f t="shared" si="20"/>
        <v>0</v>
      </c>
      <c r="U44" s="86">
        <v>1</v>
      </c>
      <c r="V44" s="87">
        <f t="shared" si="21"/>
        <v>2216150</v>
      </c>
      <c r="W44" s="93">
        <f t="shared" si="34"/>
        <v>2216150</v>
      </c>
      <c r="X44" s="88">
        <v>0</v>
      </c>
      <c r="Y44" s="89">
        <f t="shared" si="22"/>
        <v>0</v>
      </c>
      <c r="Z44" s="88">
        <v>0</v>
      </c>
      <c r="AA44" s="89">
        <f t="shared" si="23"/>
        <v>0</v>
      </c>
      <c r="AB44" s="93">
        <f t="shared" si="35"/>
        <v>0</v>
      </c>
      <c r="AC44" s="88">
        <v>0</v>
      </c>
      <c r="AD44" s="89">
        <f t="shared" si="24"/>
        <v>0</v>
      </c>
      <c r="AE44" s="93">
        <f t="shared" si="36"/>
        <v>0</v>
      </c>
      <c r="AF44" s="81">
        <f t="shared" si="37"/>
        <v>0</v>
      </c>
      <c r="AG44" s="82">
        <f t="shared" si="25"/>
        <v>1</v>
      </c>
      <c r="AH44" s="159">
        <f t="shared" si="26"/>
        <v>2216150</v>
      </c>
    </row>
    <row r="45" spans="1:34" x14ac:dyDescent="0.25">
      <c r="A45" s="46" t="s">
        <v>213</v>
      </c>
      <c r="B45" s="90">
        <v>3720000</v>
      </c>
      <c r="C45" s="91">
        <v>0</v>
      </c>
      <c r="D45" s="85">
        <f t="shared" si="27"/>
        <v>0</v>
      </c>
      <c r="E45" s="122">
        <v>0</v>
      </c>
      <c r="F45" s="123">
        <f t="shared" si="28"/>
        <v>0</v>
      </c>
      <c r="G45" s="122">
        <v>0</v>
      </c>
      <c r="H45" s="123">
        <f t="shared" si="29"/>
        <v>0</v>
      </c>
      <c r="I45" s="122">
        <v>0</v>
      </c>
      <c r="J45" s="123">
        <f t="shared" si="30"/>
        <v>0</v>
      </c>
      <c r="K45" s="122">
        <v>0</v>
      </c>
      <c r="L45" s="123">
        <f t="shared" si="31"/>
        <v>0</v>
      </c>
      <c r="M45" s="122">
        <v>0</v>
      </c>
      <c r="N45" s="123">
        <f t="shared" si="32"/>
        <v>0</v>
      </c>
      <c r="O45" s="93">
        <f t="shared" si="18"/>
        <v>0</v>
      </c>
      <c r="P45" s="86">
        <v>1</v>
      </c>
      <c r="Q45" s="87">
        <f t="shared" si="19"/>
        <v>3720000</v>
      </c>
      <c r="R45" s="93">
        <f t="shared" si="33"/>
        <v>3720000</v>
      </c>
      <c r="S45" s="86">
        <v>0</v>
      </c>
      <c r="T45" s="87">
        <f t="shared" si="20"/>
        <v>0</v>
      </c>
      <c r="U45" s="86">
        <v>0</v>
      </c>
      <c r="V45" s="87">
        <f t="shared" si="21"/>
        <v>0</v>
      </c>
      <c r="W45" s="93">
        <f t="shared" si="34"/>
        <v>0</v>
      </c>
      <c r="X45" s="88">
        <v>0</v>
      </c>
      <c r="Y45" s="89">
        <f t="shared" si="22"/>
        <v>0</v>
      </c>
      <c r="Z45" s="88">
        <v>0</v>
      </c>
      <c r="AA45" s="89">
        <f t="shared" si="23"/>
        <v>0</v>
      </c>
      <c r="AB45" s="93">
        <f t="shared" si="35"/>
        <v>0</v>
      </c>
      <c r="AC45" s="88">
        <v>0</v>
      </c>
      <c r="AD45" s="89">
        <f t="shared" si="24"/>
        <v>0</v>
      </c>
      <c r="AE45" s="93">
        <f t="shared" si="36"/>
        <v>0</v>
      </c>
      <c r="AF45" s="81">
        <f t="shared" si="37"/>
        <v>0</v>
      </c>
      <c r="AG45" s="82">
        <f t="shared" si="25"/>
        <v>1</v>
      </c>
      <c r="AH45" s="159">
        <f t="shared" si="26"/>
        <v>0</v>
      </c>
    </row>
    <row r="46" spans="1:34" x14ac:dyDescent="0.25">
      <c r="A46" s="46" t="s">
        <v>264</v>
      </c>
      <c r="B46" s="90">
        <v>10439950</v>
      </c>
      <c r="C46" s="91">
        <v>0</v>
      </c>
      <c r="D46" s="85">
        <f t="shared" si="27"/>
        <v>0</v>
      </c>
      <c r="E46" s="122">
        <v>0</v>
      </c>
      <c r="F46" s="123">
        <f t="shared" si="28"/>
        <v>0</v>
      </c>
      <c r="G46" s="122">
        <v>0</v>
      </c>
      <c r="H46" s="123">
        <f t="shared" si="29"/>
        <v>0</v>
      </c>
      <c r="I46" s="122">
        <v>0</v>
      </c>
      <c r="J46" s="123">
        <f t="shared" si="30"/>
        <v>0</v>
      </c>
      <c r="K46" s="122">
        <v>0</v>
      </c>
      <c r="L46" s="123">
        <f t="shared" si="31"/>
        <v>0</v>
      </c>
      <c r="M46" s="122">
        <v>0</v>
      </c>
      <c r="N46" s="123">
        <f t="shared" si="32"/>
        <v>0</v>
      </c>
      <c r="O46" s="93">
        <f t="shared" si="18"/>
        <v>0</v>
      </c>
      <c r="P46" s="86">
        <v>1</v>
      </c>
      <c r="Q46" s="87">
        <f t="shared" si="19"/>
        <v>10439950</v>
      </c>
      <c r="R46" s="93">
        <f t="shared" si="33"/>
        <v>10439950</v>
      </c>
      <c r="S46" s="86">
        <v>0</v>
      </c>
      <c r="T46" s="87">
        <f t="shared" si="20"/>
        <v>0</v>
      </c>
      <c r="U46" s="86">
        <v>0</v>
      </c>
      <c r="V46" s="87">
        <f t="shared" si="21"/>
        <v>0</v>
      </c>
      <c r="W46" s="93">
        <f t="shared" si="34"/>
        <v>0</v>
      </c>
      <c r="X46" s="88">
        <v>0</v>
      </c>
      <c r="Y46" s="89">
        <f t="shared" si="22"/>
        <v>0</v>
      </c>
      <c r="Z46" s="88">
        <v>0</v>
      </c>
      <c r="AA46" s="89">
        <f t="shared" si="23"/>
        <v>0</v>
      </c>
      <c r="AB46" s="93">
        <f t="shared" si="35"/>
        <v>0</v>
      </c>
      <c r="AC46" s="88">
        <v>0</v>
      </c>
      <c r="AD46" s="89">
        <f t="shared" si="24"/>
        <v>0</v>
      </c>
      <c r="AE46" s="93">
        <f t="shared" si="36"/>
        <v>0</v>
      </c>
      <c r="AF46" s="81">
        <f t="shared" si="37"/>
        <v>0</v>
      </c>
      <c r="AG46" s="82">
        <f t="shared" si="25"/>
        <v>1</v>
      </c>
      <c r="AH46" s="159">
        <f t="shared" si="26"/>
        <v>0</v>
      </c>
    </row>
    <row r="47" spans="1:34" x14ac:dyDescent="0.25">
      <c r="A47" s="46" t="s">
        <v>278</v>
      </c>
      <c r="B47" s="90">
        <v>2170950</v>
      </c>
      <c r="C47" s="91">
        <v>0</v>
      </c>
      <c r="D47" s="85">
        <f t="shared" si="27"/>
        <v>0</v>
      </c>
      <c r="E47" s="122">
        <v>0</v>
      </c>
      <c r="F47" s="123">
        <f t="shared" si="28"/>
        <v>0</v>
      </c>
      <c r="G47" s="122">
        <v>0</v>
      </c>
      <c r="H47" s="123">
        <f t="shared" si="29"/>
        <v>0</v>
      </c>
      <c r="I47" s="122">
        <v>0</v>
      </c>
      <c r="J47" s="123">
        <f t="shared" si="30"/>
        <v>0</v>
      </c>
      <c r="K47" s="122">
        <v>1</v>
      </c>
      <c r="L47" s="123">
        <f t="shared" si="31"/>
        <v>2170950</v>
      </c>
      <c r="M47" s="122">
        <v>0</v>
      </c>
      <c r="N47" s="123">
        <f t="shared" si="32"/>
        <v>0</v>
      </c>
      <c r="O47" s="93">
        <f t="shared" si="18"/>
        <v>2170950</v>
      </c>
      <c r="P47" s="86">
        <v>0</v>
      </c>
      <c r="Q47" s="87">
        <f t="shared" si="19"/>
        <v>0</v>
      </c>
      <c r="R47" s="93">
        <f t="shared" si="33"/>
        <v>0</v>
      </c>
      <c r="S47" s="86">
        <v>0</v>
      </c>
      <c r="T47" s="87">
        <f t="shared" si="20"/>
        <v>0</v>
      </c>
      <c r="U47" s="86">
        <v>0</v>
      </c>
      <c r="V47" s="87">
        <f t="shared" si="21"/>
        <v>0</v>
      </c>
      <c r="W47" s="93">
        <f t="shared" si="34"/>
        <v>0</v>
      </c>
      <c r="X47" s="88">
        <v>0</v>
      </c>
      <c r="Y47" s="89">
        <f t="shared" si="22"/>
        <v>0</v>
      </c>
      <c r="Z47" s="88">
        <v>0</v>
      </c>
      <c r="AA47" s="89">
        <f t="shared" si="23"/>
        <v>0</v>
      </c>
      <c r="AB47" s="93">
        <f t="shared" si="35"/>
        <v>0</v>
      </c>
      <c r="AC47" s="88">
        <v>0</v>
      </c>
      <c r="AD47" s="89">
        <f t="shared" si="24"/>
        <v>0</v>
      </c>
      <c r="AE47" s="93">
        <f t="shared" si="36"/>
        <v>0</v>
      </c>
      <c r="AF47" s="81">
        <f t="shared" si="37"/>
        <v>0</v>
      </c>
      <c r="AG47" s="82">
        <f t="shared" si="25"/>
        <v>1</v>
      </c>
      <c r="AH47" s="159">
        <f t="shared" si="26"/>
        <v>2170950</v>
      </c>
    </row>
    <row r="48" spans="1:34" x14ac:dyDescent="0.25">
      <c r="A48" s="46" t="s">
        <v>279</v>
      </c>
      <c r="B48" s="90"/>
      <c r="C48" s="91">
        <v>0</v>
      </c>
      <c r="D48" s="85">
        <f t="shared" si="27"/>
        <v>0</v>
      </c>
      <c r="E48" s="122">
        <v>0</v>
      </c>
      <c r="F48" s="123">
        <f t="shared" si="28"/>
        <v>0</v>
      </c>
      <c r="G48" s="122">
        <v>0</v>
      </c>
      <c r="H48" s="123">
        <f t="shared" si="29"/>
        <v>0</v>
      </c>
      <c r="I48" s="122">
        <v>0</v>
      </c>
      <c r="J48" s="123">
        <f t="shared" si="30"/>
        <v>0</v>
      </c>
      <c r="K48" s="122">
        <v>0</v>
      </c>
      <c r="L48" s="123">
        <f t="shared" si="31"/>
        <v>0</v>
      </c>
      <c r="M48" s="122">
        <v>0</v>
      </c>
      <c r="N48" s="123">
        <f t="shared" si="32"/>
        <v>0</v>
      </c>
      <c r="O48" s="93">
        <f t="shared" si="18"/>
        <v>0</v>
      </c>
      <c r="P48" s="86">
        <v>0</v>
      </c>
      <c r="Q48" s="87">
        <f t="shared" si="19"/>
        <v>0</v>
      </c>
      <c r="R48" s="93">
        <f t="shared" si="33"/>
        <v>0</v>
      </c>
      <c r="S48" s="86">
        <v>0</v>
      </c>
      <c r="T48" s="87">
        <f t="shared" si="20"/>
        <v>0</v>
      </c>
      <c r="U48" s="86">
        <v>0</v>
      </c>
      <c r="V48" s="87">
        <f t="shared" si="21"/>
        <v>0</v>
      </c>
      <c r="W48" s="93">
        <f t="shared" si="34"/>
        <v>0</v>
      </c>
      <c r="X48" s="88">
        <v>0</v>
      </c>
      <c r="Y48" s="89">
        <v>0</v>
      </c>
      <c r="Z48" s="88">
        <v>0</v>
      </c>
      <c r="AA48" s="89">
        <f t="shared" si="23"/>
        <v>0</v>
      </c>
      <c r="AB48" s="93">
        <f t="shared" si="35"/>
        <v>0</v>
      </c>
      <c r="AC48" s="88">
        <v>1</v>
      </c>
      <c r="AD48" s="89">
        <f t="shared" si="24"/>
        <v>0</v>
      </c>
      <c r="AE48" s="93">
        <f t="shared" si="36"/>
        <v>0</v>
      </c>
      <c r="AF48" s="81">
        <f t="shared" si="37"/>
        <v>0</v>
      </c>
      <c r="AG48" s="82">
        <f t="shared" si="25"/>
        <v>1</v>
      </c>
      <c r="AH48" s="159">
        <f t="shared" si="26"/>
        <v>0</v>
      </c>
    </row>
    <row r="49" spans="1:34" x14ac:dyDescent="0.25">
      <c r="A49" s="46" t="s">
        <v>232</v>
      </c>
      <c r="B49" s="90"/>
      <c r="C49" s="91">
        <v>0</v>
      </c>
      <c r="D49" s="85">
        <f t="shared" si="27"/>
        <v>0</v>
      </c>
      <c r="E49" s="122">
        <v>0</v>
      </c>
      <c r="F49" s="123">
        <f t="shared" si="28"/>
        <v>0</v>
      </c>
      <c r="G49" s="122">
        <v>0</v>
      </c>
      <c r="H49" s="123">
        <f t="shared" si="29"/>
        <v>0</v>
      </c>
      <c r="I49" s="122">
        <v>0</v>
      </c>
      <c r="J49" s="123">
        <f t="shared" si="30"/>
        <v>0</v>
      </c>
      <c r="K49" s="122">
        <v>0</v>
      </c>
      <c r="L49" s="123">
        <f t="shared" si="31"/>
        <v>0</v>
      </c>
      <c r="M49" s="122">
        <v>0</v>
      </c>
      <c r="N49" s="123">
        <f t="shared" si="32"/>
        <v>0</v>
      </c>
      <c r="O49" s="93">
        <f t="shared" si="18"/>
        <v>0</v>
      </c>
      <c r="P49" s="86">
        <v>0</v>
      </c>
      <c r="Q49" s="87">
        <f t="shared" si="19"/>
        <v>0</v>
      </c>
      <c r="R49" s="93">
        <f t="shared" si="33"/>
        <v>0</v>
      </c>
      <c r="S49" s="86">
        <v>0</v>
      </c>
      <c r="T49" s="87">
        <f t="shared" si="20"/>
        <v>0</v>
      </c>
      <c r="U49" s="86">
        <v>0</v>
      </c>
      <c r="V49" s="87">
        <f t="shared" si="21"/>
        <v>0</v>
      </c>
      <c r="W49" s="93">
        <f t="shared" si="34"/>
        <v>0</v>
      </c>
      <c r="X49" s="88">
        <v>0</v>
      </c>
      <c r="Y49" s="89">
        <f>+X49*B49</f>
        <v>0</v>
      </c>
      <c r="Z49" s="88">
        <v>0.5</v>
      </c>
      <c r="AA49" s="89">
        <f t="shared" si="23"/>
        <v>0</v>
      </c>
      <c r="AB49" s="93">
        <f t="shared" si="35"/>
        <v>0</v>
      </c>
      <c r="AC49" s="88">
        <v>0.5</v>
      </c>
      <c r="AD49" s="89">
        <f t="shared" si="24"/>
        <v>0</v>
      </c>
      <c r="AE49" s="93">
        <f t="shared" si="36"/>
        <v>0</v>
      </c>
      <c r="AF49" s="81">
        <f t="shared" si="37"/>
        <v>0</v>
      </c>
      <c r="AG49" s="82">
        <f t="shared" si="25"/>
        <v>1</v>
      </c>
      <c r="AH49" s="159">
        <f t="shared" si="26"/>
        <v>0</v>
      </c>
    </row>
    <row r="50" spans="1:34" x14ac:dyDescent="0.25">
      <c r="A50" s="46" t="s">
        <v>70</v>
      </c>
      <c r="B50" s="90"/>
      <c r="C50" s="91">
        <v>0.1</v>
      </c>
      <c r="D50" s="85">
        <f t="shared" si="27"/>
        <v>0</v>
      </c>
      <c r="E50" s="122">
        <v>0</v>
      </c>
      <c r="F50" s="123">
        <f t="shared" si="28"/>
        <v>0</v>
      </c>
      <c r="G50" s="122">
        <v>0</v>
      </c>
      <c r="H50" s="123">
        <f t="shared" si="29"/>
        <v>0</v>
      </c>
      <c r="I50" s="122">
        <v>0</v>
      </c>
      <c r="J50" s="123">
        <f t="shared" si="30"/>
        <v>0</v>
      </c>
      <c r="K50" s="122">
        <v>0</v>
      </c>
      <c r="L50" s="123">
        <f t="shared" si="31"/>
        <v>0</v>
      </c>
      <c r="M50" s="122">
        <v>0</v>
      </c>
      <c r="N50" s="123">
        <f>+B50*M50</f>
        <v>0</v>
      </c>
      <c r="O50" s="93">
        <f t="shared" si="18"/>
        <v>0</v>
      </c>
      <c r="P50" s="86">
        <v>0.01</v>
      </c>
      <c r="Q50" s="87">
        <f t="shared" si="19"/>
        <v>0</v>
      </c>
      <c r="R50" s="93">
        <f t="shared" si="33"/>
        <v>0</v>
      </c>
      <c r="S50" s="86">
        <v>0.1</v>
      </c>
      <c r="T50" s="87">
        <f t="shared" si="20"/>
        <v>0</v>
      </c>
      <c r="U50" s="86">
        <v>0.2</v>
      </c>
      <c r="V50" s="87">
        <f t="shared" si="21"/>
        <v>0</v>
      </c>
      <c r="W50" s="93">
        <f t="shared" si="34"/>
        <v>0</v>
      </c>
      <c r="X50" s="88">
        <v>0.1</v>
      </c>
      <c r="Y50" s="89">
        <f>+X50*B50</f>
        <v>0</v>
      </c>
      <c r="Z50" s="88">
        <v>0.49</v>
      </c>
      <c r="AA50" s="89">
        <f t="shared" si="23"/>
        <v>0</v>
      </c>
      <c r="AB50" s="93">
        <f t="shared" si="35"/>
        <v>0</v>
      </c>
      <c r="AC50" s="88">
        <v>0</v>
      </c>
      <c r="AD50" s="89">
        <f t="shared" si="24"/>
        <v>0</v>
      </c>
      <c r="AE50" s="93">
        <f t="shared" si="36"/>
        <v>0</v>
      </c>
      <c r="AF50" s="81">
        <f t="shared" si="37"/>
        <v>0</v>
      </c>
      <c r="AG50" s="82">
        <f t="shared" si="25"/>
        <v>1</v>
      </c>
      <c r="AH50" s="159">
        <f t="shared" si="26"/>
        <v>0</v>
      </c>
    </row>
    <row r="51" spans="1:34" x14ac:dyDescent="0.25">
      <c r="A51" s="46" t="s">
        <v>181</v>
      </c>
      <c r="B51" s="92">
        <f>SUM(B16:B50)</f>
        <v>26504250</v>
      </c>
      <c r="C51" s="44"/>
      <c r="D51" s="93">
        <f>SUM(D16:D50)</f>
        <v>423580.2</v>
      </c>
      <c r="E51" s="124"/>
      <c r="F51" s="125">
        <f>SUM(F16:F50)</f>
        <v>717622.65</v>
      </c>
      <c r="G51" s="124"/>
      <c r="H51" s="125">
        <f>SUM(H16:H50)</f>
        <v>755952.04999999993</v>
      </c>
      <c r="I51" s="124"/>
      <c r="J51" s="125">
        <f>SUM(J16:J50)</f>
        <v>27129.54</v>
      </c>
      <c r="K51" s="125"/>
      <c r="L51" s="125">
        <f>SUM(L16:L50)</f>
        <v>2327586</v>
      </c>
      <c r="M51" s="125"/>
      <c r="N51" s="125">
        <f>SUM(N16:N50)</f>
        <v>64840.799999999996</v>
      </c>
      <c r="O51" s="93">
        <f>SUM(O16:O50)</f>
        <v>3893131.04</v>
      </c>
      <c r="P51" s="44"/>
      <c r="Q51" s="95">
        <f>SUM(Q16:Q50)</f>
        <v>14187589.5</v>
      </c>
      <c r="R51" s="93">
        <f>SUM(R16:R50)</f>
        <v>14187589.5</v>
      </c>
      <c r="S51" s="44"/>
      <c r="T51" s="95">
        <f>SUM(T16:T50)</f>
        <v>277392.25</v>
      </c>
      <c r="U51" s="44"/>
      <c r="V51" s="95">
        <f>SUM(V16:V50)</f>
        <v>3106071.9</v>
      </c>
      <c r="W51" s="93">
        <f>SUM(W16:W50)</f>
        <v>3383464.15</v>
      </c>
      <c r="X51" s="44"/>
      <c r="Y51" s="94">
        <f>SUM(Y16:Y50)</f>
        <v>550041.65</v>
      </c>
      <c r="Z51" s="44"/>
      <c r="AA51" s="94">
        <f>SUM(AA16:AA50)</f>
        <v>1566056.6500000001</v>
      </c>
      <c r="AB51" s="93">
        <f>SUM(AB16:AB50)</f>
        <v>2116098.2999999998</v>
      </c>
      <c r="AC51" s="79"/>
      <c r="AD51" s="94">
        <f>SUM(AD16:AD50)</f>
        <v>2500386.81</v>
      </c>
      <c r="AE51" s="93">
        <f>SUM(AE16:AE50)</f>
        <v>2500386.81</v>
      </c>
      <c r="AF51" s="81"/>
      <c r="AG51" s="82">
        <f>+C51+E51+G51+I51+P51+S51+U51+X51+Z51+AC51</f>
        <v>0</v>
      </c>
      <c r="AH51" s="159">
        <f>SUM(AH16:AH50)</f>
        <v>9776982</v>
      </c>
    </row>
    <row r="54" spans="1:34" ht="30" x14ac:dyDescent="0.25">
      <c r="A54" s="71" t="s">
        <v>199</v>
      </c>
      <c r="B54" s="84" t="s">
        <v>180</v>
      </c>
      <c r="C54" s="74" t="s">
        <v>159</v>
      </c>
      <c r="D54" s="71" t="s">
        <v>176</v>
      </c>
      <c r="E54" s="106" t="s">
        <v>200</v>
      </c>
      <c r="F54" s="108" t="s">
        <v>176</v>
      </c>
      <c r="G54" s="80" t="s">
        <v>201</v>
      </c>
      <c r="H54" s="80" t="s">
        <v>202</v>
      </c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100"/>
      <c r="V54" s="100"/>
      <c r="W54" s="100"/>
      <c r="X54" s="99"/>
      <c r="Y54" s="99"/>
      <c r="Z54" s="100"/>
      <c r="AA54" s="100"/>
      <c r="AB54" s="100"/>
      <c r="AC54" s="100"/>
      <c r="AD54" s="100"/>
      <c r="AE54" s="100"/>
      <c r="AF54" s="101"/>
      <c r="AG54" s="101"/>
    </row>
    <row r="55" spans="1:34" x14ac:dyDescent="0.25">
      <c r="A55" s="46" t="s">
        <v>204</v>
      </c>
      <c r="B55" s="90">
        <v>7551048</v>
      </c>
      <c r="C55" s="91">
        <v>0.5</v>
      </c>
      <c r="D55" s="85">
        <f>+B55*C55</f>
        <v>3775524</v>
      </c>
      <c r="E55" s="107">
        <v>0.5</v>
      </c>
      <c r="F55" s="109">
        <f>+E55*B55</f>
        <v>3775524</v>
      </c>
      <c r="G55" s="110">
        <f>+C55+E55</f>
        <v>1</v>
      </c>
      <c r="H55" s="109">
        <f>+(F55+D55)-B55</f>
        <v>0</v>
      </c>
      <c r="I55" s="103"/>
      <c r="J55" s="102"/>
      <c r="K55" s="102"/>
      <c r="L55" s="102"/>
      <c r="M55" s="102"/>
      <c r="N55" s="102"/>
      <c r="O55" s="102"/>
      <c r="P55" s="103"/>
      <c r="Q55" s="102"/>
      <c r="R55" s="102"/>
      <c r="S55" s="103"/>
      <c r="T55" s="102"/>
      <c r="U55" s="103"/>
      <c r="V55" s="102"/>
      <c r="W55" s="102"/>
      <c r="X55" s="103"/>
      <c r="Y55" s="102"/>
      <c r="Z55" s="103"/>
      <c r="AA55" s="102"/>
      <c r="AB55" s="102"/>
      <c r="AC55" s="103"/>
      <c r="AD55" s="102"/>
      <c r="AE55" s="104"/>
      <c r="AF55" s="104"/>
      <c r="AG55" s="105"/>
    </row>
    <row r="56" spans="1:34" x14ac:dyDescent="0.25">
      <c r="A56" s="46" t="s">
        <v>205</v>
      </c>
      <c r="B56" s="90"/>
      <c r="C56" s="91">
        <v>0.5</v>
      </c>
      <c r="D56" s="85">
        <f t="shared" ref="D56:D62" si="38">+B56*C56</f>
        <v>0</v>
      </c>
      <c r="E56" s="107">
        <v>0.5</v>
      </c>
      <c r="F56" s="109">
        <f t="shared" ref="F56:F62" si="39">+E56*B56</f>
        <v>0</v>
      </c>
      <c r="G56" s="110">
        <f t="shared" ref="G56:G63" si="40">+C56+E56</f>
        <v>1</v>
      </c>
      <c r="H56" s="109">
        <f t="shared" ref="H56:H63" si="41">+(F56+D56)-B56</f>
        <v>0</v>
      </c>
      <c r="I56" s="103"/>
      <c r="J56" s="102"/>
      <c r="K56" s="102"/>
      <c r="L56" s="102"/>
      <c r="M56" s="102"/>
      <c r="N56" s="102"/>
      <c r="O56" s="102"/>
      <c r="P56" s="103"/>
      <c r="Q56" s="102"/>
      <c r="R56" s="102"/>
      <c r="S56" s="103"/>
      <c r="T56" s="102"/>
      <c r="U56" s="103"/>
      <c r="V56" s="102"/>
      <c r="W56" s="102"/>
      <c r="X56" s="103"/>
      <c r="Y56" s="102"/>
      <c r="Z56" s="103"/>
      <c r="AA56" s="102"/>
      <c r="AB56" s="102"/>
      <c r="AC56" s="103"/>
      <c r="AD56" s="102"/>
      <c r="AE56" s="104"/>
      <c r="AF56" s="104"/>
      <c r="AG56" s="105"/>
    </row>
    <row r="57" spans="1:34" x14ac:dyDescent="0.25">
      <c r="A57" s="46" t="s">
        <v>206</v>
      </c>
      <c r="B57" s="90">
        <v>1720000</v>
      </c>
      <c r="C57" s="91">
        <v>0.5</v>
      </c>
      <c r="D57" s="85">
        <f t="shared" si="38"/>
        <v>860000</v>
      </c>
      <c r="E57" s="107">
        <v>0.5</v>
      </c>
      <c r="F57" s="109">
        <f t="shared" si="39"/>
        <v>860000</v>
      </c>
      <c r="G57" s="110">
        <f t="shared" si="40"/>
        <v>1</v>
      </c>
      <c r="H57" s="109">
        <f t="shared" si="41"/>
        <v>0</v>
      </c>
      <c r="I57" s="103"/>
      <c r="J57" s="102"/>
      <c r="K57" s="102"/>
      <c r="L57" s="102"/>
      <c r="M57" s="102"/>
      <c r="N57" s="102"/>
      <c r="O57" s="102"/>
      <c r="P57" s="103"/>
      <c r="Q57" s="102"/>
      <c r="R57" s="102"/>
      <c r="S57" s="103"/>
      <c r="T57" s="102"/>
      <c r="U57" s="103"/>
      <c r="V57" s="102"/>
      <c r="W57" s="102"/>
      <c r="X57" s="103"/>
      <c r="Y57" s="102"/>
      <c r="Z57" s="103"/>
      <c r="AA57" s="102"/>
      <c r="AB57" s="102"/>
      <c r="AC57" s="103"/>
      <c r="AD57" s="102"/>
      <c r="AE57" s="104"/>
      <c r="AF57" s="104"/>
      <c r="AG57" s="105"/>
    </row>
    <row r="58" spans="1:34" x14ac:dyDescent="0.25">
      <c r="A58" s="46" t="s">
        <v>209</v>
      </c>
      <c r="B58" s="90">
        <f>256000+860000+60200</f>
        <v>1176200</v>
      </c>
      <c r="C58" s="91">
        <v>0.5</v>
      </c>
      <c r="D58" s="85">
        <f t="shared" si="38"/>
        <v>588100</v>
      </c>
      <c r="E58" s="107">
        <v>0.5</v>
      </c>
      <c r="F58" s="109">
        <f t="shared" si="39"/>
        <v>588100</v>
      </c>
      <c r="G58" s="110">
        <f t="shared" si="40"/>
        <v>1</v>
      </c>
      <c r="H58" s="109">
        <f t="shared" si="41"/>
        <v>0</v>
      </c>
      <c r="I58" s="103"/>
      <c r="J58" s="102"/>
      <c r="K58" s="102"/>
      <c r="L58" s="102"/>
      <c r="M58" s="102"/>
      <c r="N58" s="102"/>
      <c r="O58" s="102"/>
      <c r="P58" s="103"/>
      <c r="Q58" s="102"/>
      <c r="R58" s="102"/>
      <c r="S58" s="103"/>
      <c r="T58" s="102"/>
      <c r="U58" s="103"/>
      <c r="V58" s="102"/>
      <c r="W58" s="102"/>
      <c r="X58" s="103"/>
      <c r="Y58" s="102"/>
      <c r="Z58" s="103"/>
      <c r="AA58" s="102"/>
      <c r="AB58" s="102"/>
      <c r="AC58" s="103"/>
      <c r="AD58" s="102"/>
      <c r="AE58" s="104"/>
      <c r="AF58" s="104"/>
      <c r="AG58" s="105"/>
    </row>
    <row r="59" spans="1:34" x14ac:dyDescent="0.25">
      <c r="A59" s="46" t="s">
        <v>210</v>
      </c>
      <c r="B59" s="90"/>
      <c r="C59" s="91">
        <v>0.5</v>
      </c>
      <c r="D59" s="85">
        <f t="shared" si="38"/>
        <v>0</v>
      </c>
      <c r="E59" s="107">
        <v>0.5</v>
      </c>
      <c r="F59" s="109">
        <f t="shared" si="39"/>
        <v>0</v>
      </c>
      <c r="G59" s="110">
        <f t="shared" si="40"/>
        <v>1</v>
      </c>
      <c r="H59" s="109">
        <f t="shared" si="41"/>
        <v>0</v>
      </c>
      <c r="I59" s="103"/>
      <c r="J59" s="102"/>
      <c r="K59" s="102"/>
      <c r="L59" s="102"/>
      <c r="M59" s="102"/>
      <c r="N59" s="102"/>
      <c r="O59" s="102"/>
      <c r="P59" s="103"/>
      <c r="Q59" s="102"/>
      <c r="R59" s="102"/>
      <c r="S59" s="103"/>
      <c r="T59" s="102"/>
      <c r="U59" s="103"/>
      <c r="V59" s="102"/>
      <c r="W59" s="102"/>
      <c r="X59" s="103"/>
      <c r="Y59" s="102"/>
      <c r="Z59" s="103"/>
      <c r="AA59" s="102"/>
      <c r="AB59" s="102"/>
      <c r="AC59" s="103"/>
      <c r="AD59" s="102"/>
      <c r="AE59" s="104"/>
      <c r="AF59" s="104"/>
      <c r="AG59" s="105"/>
    </row>
    <row r="60" spans="1:34" x14ac:dyDescent="0.25">
      <c r="A60" s="46" t="s">
        <v>207</v>
      </c>
      <c r="B60" s="90"/>
      <c r="C60" s="91">
        <v>0.5</v>
      </c>
      <c r="D60" s="85">
        <f t="shared" si="38"/>
        <v>0</v>
      </c>
      <c r="E60" s="107">
        <v>0.5</v>
      </c>
      <c r="F60" s="109">
        <f t="shared" si="39"/>
        <v>0</v>
      </c>
      <c r="G60" s="110">
        <f t="shared" si="40"/>
        <v>1</v>
      </c>
      <c r="H60" s="109">
        <f t="shared" si="41"/>
        <v>0</v>
      </c>
      <c r="I60" s="103"/>
      <c r="J60" s="102"/>
      <c r="K60" s="102"/>
      <c r="L60" s="102"/>
      <c r="M60" s="102"/>
      <c r="N60" s="102"/>
      <c r="O60" s="102"/>
      <c r="P60" s="103"/>
      <c r="Q60" s="102"/>
      <c r="R60" s="102"/>
      <c r="S60" s="103"/>
      <c r="T60" s="102"/>
      <c r="U60" s="103"/>
      <c r="V60" s="102"/>
      <c r="W60" s="102"/>
      <c r="X60" s="103"/>
      <c r="Y60" s="102"/>
      <c r="Z60" s="103"/>
      <c r="AA60" s="102"/>
      <c r="AB60" s="102"/>
      <c r="AC60" s="103"/>
      <c r="AD60" s="102"/>
      <c r="AE60" s="104"/>
      <c r="AF60" s="104"/>
      <c r="AG60" s="105"/>
    </row>
    <row r="61" spans="1:34" x14ac:dyDescent="0.25">
      <c r="A61" s="46" t="s">
        <v>208</v>
      </c>
      <c r="B61" s="90"/>
      <c r="C61" s="91">
        <v>0.5</v>
      </c>
      <c r="D61" s="85">
        <f t="shared" si="38"/>
        <v>0</v>
      </c>
      <c r="E61" s="107">
        <v>0.5</v>
      </c>
      <c r="F61" s="109">
        <f t="shared" si="39"/>
        <v>0</v>
      </c>
      <c r="G61" s="110">
        <f t="shared" si="40"/>
        <v>1</v>
      </c>
      <c r="H61" s="109">
        <f t="shared" si="41"/>
        <v>0</v>
      </c>
      <c r="I61" s="103"/>
      <c r="J61" s="102"/>
      <c r="K61" s="102"/>
      <c r="L61" s="102"/>
      <c r="M61" s="102"/>
      <c r="N61" s="102"/>
      <c r="O61" s="102"/>
      <c r="P61" s="103"/>
      <c r="Q61" s="102"/>
      <c r="R61" s="102"/>
      <c r="S61" s="103"/>
      <c r="T61" s="102"/>
      <c r="U61" s="103"/>
      <c r="V61" s="102"/>
      <c r="W61" s="102"/>
      <c r="X61" s="103"/>
      <c r="Y61" s="102"/>
      <c r="Z61" s="103"/>
      <c r="AA61" s="102"/>
      <c r="AB61" s="102"/>
      <c r="AC61" s="103"/>
      <c r="AD61" s="102"/>
      <c r="AE61" s="104"/>
      <c r="AF61" s="104"/>
      <c r="AG61" s="105"/>
    </row>
    <row r="62" spans="1:34" x14ac:dyDescent="0.25">
      <c r="A62" s="46" t="s">
        <v>70</v>
      </c>
      <c r="B62" s="90">
        <v>523500</v>
      </c>
      <c r="C62" s="91">
        <v>0.5</v>
      </c>
      <c r="D62" s="85">
        <f t="shared" si="38"/>
        <v>261750</v>
      </c>
      <c r="E62" s="107">
        <v>0.5</v>
      </c>
      <c r="F62" s="109">
        <f t="shared" si="39"/>
        <v>261750</v>
      </c>
      <c r="G62" s="110">
        <f t="shared" si="40"/>
        <v>1</v>
      </c>
      <c r="H62" s="109">
        <f t="shared" si="41"/>
        <v>0</v>
      </c>
      <c r="I62" s="103"/>
      <c r="J62" s="102"/>
      <c r="K62" s="102"/>
      <c r="L62" s="102"/>
      <c r="M62" s="102"/>
      <c r="N62" s="102"/>
      <c r="O62" s="102"/>
      <c r="P62" s="103"/>
      <c r="Q62" s="102"/>
      <c r="R62" s="102"/>
      <c r="S62" s="103"/>
      <c r="T62" s="102"/>
      <c r="U62" s="103"/>
      <c r="V62" s="102"/>
      <c r="W62" s="102"/>
      <c r="X62" s="103"/>
      <c r="Y62" s="102"/>
      <c r="Z62" s="103"/>
      <c r="AA62" s="102"/>
      <c r="AB62" s="102"/>
      <c r="AC62" s="103"/>
      <c r="AD62" s="102"/>
      <c r="AE62" s="104"/>
      <c r="AF62" s="104"/>
      <c r="AG62" s="105"/>
    </row>
    <row r="63" spans="1:34" x14ac:dyDescent="0.25">
      <c r="A63" s="115" t="s">
        <v>203</v>
      </c>
      <c r="B63" s="111">
        <f>SUM(B55:B62)</f>
        <v>10970748</v>
      </c>
      <c r="C63" s="91"/>
      <c r="D63" s="93">
        <f>SUM(D55:D62)</f>
        <v>5485374</v>
      </c>
      <c r="E63" s="107"/>
      <c r="F63" s="112">
        <f>SUM(F55:F62)</f>
        <v>5485374</v>
      </c>
      <c r="G63" s="110">
        <f t="shared" si="40"/>
        <v>0</v>
      </c>
      <c r="H63" s="109">
        <f t="shared" si="41"/>
        <v>0</v>
      </c>
      <c r="I63" s="103"/>
      <c r="J63" s="102"/>
      <c r="K63" s="102"/>
      <c r="L63" s="102"/>
      <c r="M63" s="102"/>
      <c r="N63" s="102"/>
      <c r="O63" s="102"/>
      <c r="P63" s="103"/>
      <c r="Q63" s="102"/>
      <c r="R63" s="102"/>
      <c r="S63" s="103"/>
      <c r="T63" s="102"/>
      <c r="U63" s="103"/>
      <c r="V63" s="102"/>
      <c r="W63" s="102"/>
      <c r="X63" s="103"/>
      <c r="Y63" s="102"/>
      <c r="Z63" s="103"/>
      <c r="AA63" s="102"/>
      <c r="AB63" s="102"/>
      <c r="AC63" s="103"/>
      <c r="AD63" s="102"/>
      <c r="AE63" s="104"/>
      <c r="AF63" s="104"/>
      <c r="AG63" s="105"/>
    </row>
    <row r="65" spans="1:5" x14ac:dyDescent="0.25">
      <c r="A65" s="116" t="s">
        <v>211</v>
      </c>
      <c r="B65" s="117">
        <f>+B12+B51+B63</f>
        <v>60414426.167999998</v>
      </c>
    </row>
    <row r="67" spans="1:5" x14ac:dyDescent="0.25">
      <c r="A67" s="116" t="s">
        <v>327</v>
      </c>
    </row>
    <row r="68" spans="1:5" x14ac:dyDescent="0.25">
      <c r="A68" s="51" t="s">
        <v>10</v>
      </c>
      <c r="B68" s="52">
        <f>+D12+D51</f>
        <v>5938487.9488000004</v>
      </c>
    </row>
    <row r="69" spans="1:5" x14ac:dyDescent="0.25">
      <c r="A69" s="51" t="s">
        <v>228</v>
      </c>
      <c r="B69" s="52">
        <f>+O12+O51</f>
        <v>16117832.440000001</v>
      </c>
    </row>
    <row r="70" spans="1:5" x14ac:dyDescent="0.25">
      <c r="A70" s="51" t="s">
        <v>322</v>
      </c>
      <c r="B70" s="52">
        <f>+Q12+Q51</f>
        <v>14240258.715679999</v>
      </c>
    </row>
    <row r="71" spans="1:5" x14ac:dyDescent="0.25">
      <c r="A71" s="51" t="s">
        <v>323</v>
      </c>
      <c r="B71" s="52">
        <f>+T12+T51</f>
        <v>533410.68136000005</v>
      </c>
    </row>
    <row r="72" spans="1:5" x14ac:dyDescent="0.25">
      <c r="A72" s="51" t="s">
        <v>324</v>
      </c>
      <c r="B72" s="52">
        <f>+V12+V51</f>
        <v>3789617.9783999999</v>
      </c>
    </row>
    <row r="73" spans="1:5" x14ac:dyDescent="0.25">
      <c r="A73" s="51" t="s">
        <v>325</v>
      </c>
      <c r="B73" s="52">
        <f>+AB12+AE12+AB51+AE51</f>
        <v>8824070.4037599992</v>
      </c>
    </row>
    <row r="74" spans="1:5" x14ac:dyDescent="0.25">
      <c r="A74" s="51" t="s">
        <v>346</v>
      </c>
      <c r="B74" s="52">
        <f>+B63</f>
        <v>10970748</v>
      </c>
    </row>
    <row r="75" spans="1:5" x14ac:dyDescent="0.25">
      <c r="A75" s="116" t="s">
        <v>211</v>
      </c>
      <c r="B75" s="117">
        <f>SUM(B68:B74)</f>
        <v>60414426.167999998</v>
      </c>
    </row>
    <row r="76" spans="1:5" hidden="1" x14ac:dyDescent="0.25">
      <c r="A76" s="113" t="s">
        <v>196</v>
      </c>
      <c r="B76" s="114">
        <f>+B65-B75</f>
        <v>0</v>
      </c>
    </row>
    <row r="78" spans="1:5" x14ac:dyDescent="0.25">
      <c r="B78" s="162"/>
    </row>
    <row r="79" spans="1:5" x14ac:dyDescent="0.25">
      <c r="B79" s="162"/>
    </row>
    <row r="80" spans="1:5" x14ac:dyDescent="0.25">
      <c r="E80" s="162"/>
    </row>
  </sheetData>
  <mergeCells count="14">
    <mergeCell ref="AF2:AG2"/>
    <mergeCell ref="E3:F3"/>
    <mergeCell ref="G3:H3"/>
    <mergeCell ref="I3:J3"/>
    <mergeCell ref="K3:L3"/>
    <mergeCell ref="M3:N3"/>
    <mergeCell ref="P3:Q3"/>
    <mergeCell ref="S3:T3"/>
    <mergeCell ref="A1:AA1"/>
    <mergeCell ref="A2:B2"/>
    <mergeCell ref="C2:D2"/>
    <mergeCell ref="E2:O2"/>
    <mergeCell ref="P2:W2"/>
    <mergeCell ref="X2:AE2"/>
  </mergeCells>
  <pageMargins left="0.7" right="0.7" top="0.75" bottom="0.75" header="0.3" footer="0.3"/>
  <legacy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393AB-E185-4386-8E02-9CC458246B72}">
  <dimension ref="A1:AI80"/>
  <sheetViews>
    <sheetView topLeftCell="A55" workbookViewId="0">
      <selection activeCell="W16" sqref="W16:W44"/>
    </sheetView>
  </sheetViews>
  <sheetFormatPr baseColWidth="10" defaultRowHeight="15" x14ac:dyDescent="0.25"/>
  <cols>
    <col min="1" max="1" width="44.42578125" customWidth="1"/>
    <col min="2" max="3" width="14.7109375" customWidth="1"/>
    <col min="4" max="4" width="14.140625" customWidth="1"/>
    <col min="5" max="5" width="12.7109375" customWidth="1"/>
    <col min="6" max="6" width="11.7109375" customWidth="1"/>
    <col min="7" max="9" width="12.140625" customWidth="1"/>
    <col min="10" max="14" width="11.28515625" customWidth="1"/>
    <col min="15" max="15" width="13.42578125" customWidth="1"/>
    <col min="16" max="16" width="11" customWidth="1"/>
    <col min="17" max="18" width="14.7109375" customWidth="1"/>
    <col min="19" max="19" width="9.85546875" customWidth="1"/>
    <col min="20" max="20" width="10.85546875" customWidth="1"/>
    <col min="21" max="21" width="17.7109375" customWidth="1"/>
    <col min="22" max="22" width="10.7109375" customWidth="1"/>
    <col min="23" max="23" width="15.5703125" customWidth="1"/>
    <col min="24" max="24" width="14.140625" customWidth="1"/>
    <col min="26" max="26" width="13.7109375" customWidth="1"/>
    <col min="28" max="28" width="15.42578125" customWidth="1"/>
    <col min="29" max="29" width="12.85546875" customWidth="1"/>
    <col min="30" max="30" width="12.28515625" customWidth="1"/>
    <col min="31" max="31" width="15.140625" customWidth="1"/>
  </cols>
  <sheetData>
    <row r="1" spans="1:35" x14ac:dyDescent="0.25">
      <c r="A1" s="340" t="s">
        <v>166</v>
      </c>
      <c r="B1" s="340"/>
      <c r="C1" s="340"/>
      <c r="D1" s="340"/>
      <c r="E1" s="340"/>
      <c r="F1" s="340"/>
      <c r="G1" s="340"/>
      <c r="H1" s="340"/>
      <c r="I1" s="340"/>
      <c r="J1" s="340"/>
      <c r="K1" s="340"/>
      <c r="L1" s="340"/>
      <c r="M1" s="340"/>
      <c r="N1" s="340"/>
      <c r="O1" s="340"/>
      <c r="P1" s="340"/>
      <c r="Q1" s="340"/>
      <c r="R1" s="340"/>
      <c r="S1" s="340"/>
      <c r="T1" s="340"/>
      <c r="U1" s="340"/>
      <c r="V1" s="340"/>
      <c r="W1" s="340"/>
      <c r="X1" s="340"/>
      <c r="Y1" s="340"/>
      <c r="Z1" s="340"/>
      <c r="AA1" s="340"/>
      <c r="AB1" s="96"/>
      <c r="AC1" s="96"/>
      <c r="AD1" s="96"/>
      <c r="AE1" s="96"/>
    </row>
    <row r="2" spans="1:35" x14ac:dyDescent="0.25">
      <c r="A2" s="342"/>
      <c r="B2" s="342"/>
      <c r="C2" s="341" t="s">
        <v>173</v>
      </c>
      <c r="D2" s="341"/>
      <c r="E2" s="331" t="s">
        <v>221</v>
      </c>
      <c r="F2" s="336"/>
      <c r="G2" s="336"/>
      <c r="H2" s="336"/>
      <c r="I2" s="336"/>
      <c r="J2" s="336"/>
      <c r="K2" s="336"/>
      <c r="L2" s="336"/>
      <c r="M2" s="336"/>
      <c r="N2" s="336"/>
      <c r="O2" s="332"/>
      <c r="P2" s="337" t="s">
        <v>174</v>
      </c>
      <c r="Q2" s="338"/>
      <c r="R2" s="338"/>
      <c r="S2" s="338"/>
      <c r="T2" s="338"/>
      <c r="U2" s="338"/>
      <c r="V2" s="338"/>
      <c r="W2" s="339"/>
      <c r="X2" s="335" t="s">
        <v>195</v>
      </c>
      <c r="Y2" s="335"/>
      <c r="Z2" s="335"/>
      <c r="AA2" s="335"/>
      <c r="AB2" s="335"/>
      <c r="AC2" s="335"/>
      <c r="AD2" s="335"/>
      <c r="AE2" s="335"/>
      <c r="AF2" s="335" t="s">
        <v>196</v>
      </c>
      <c r="AG2" s="335"/>
    </row>
    <row r="3" spans="1:35" ht="27.75" customHeight="1" x14ac:dyDescent="0.25">
      <c r="A3" s="72" t="s">
        <v>167</v>
      </c>
      <c r="B3" s="83" t="s">
        <v>169</v>
      </c>
      <c r="C3" s="73" t="s">
        <v>177</v>
      </c>
      <c r="D3" s="69" t="s">
        <v>177</v>
      </c>
      <c r="E3" s="331" t="s">
        <v>92</v>
      </c>
      <c r="F3" s="332"/>
      <c r="G3" s="331" t="s">
        <v>93</v>
      </c>
      <c r="H3" s="332"/>
      <c r="I3" s="331" t="s">
        <v>94</v>
      </c>
      <c r="J3" s="332"/>
      <c r="K3" s="331" t="s">
        <v>95</v>
      </c>
      <c r="L3" s="336"/>
      <c r="M3" s="345" t="s">
        <v>96</v>
      </c>
      <c r="N3" s="345"/>
      <c r="O3" s="325" t="s">
        <v>341</v>
      </c>
      <c r="P3" s="333" t="s">
        <v>97</v>
      </c>
      <c r="Q3" s="334"/>
      <c r="R3" s="126" t="s">
        <v>97</v>
      </c>
      <c r="S3" s="333" t="s">
        <v>98</v>
      </c>
      <c r="T3" s="334"/>
      <c r="U3" s="72" t="s">
        <v>98</v>
      </c>
      <c r="V3" s="72"/>
      <c r="W3" s="69" t="s">
        <v>342</v>
      </c>
      <c r="X3" s="72" t="s">
        <v>99</v>
      </c>
      <c r="Y3" s="72"/>
      <c r="Z3" s="72" t="s">
        <v>100</v>
      </c>
      <c r="AA3" s="72"/>
      <c r="AB3" s="69" t="s">
        <v>343</v>
      </c>
      <c r="AC3" s="72" t="s">
        <v>344</v>
      </c>
      <c r="AD3" s="72"/>
      <c r="AE3" s="69" t="s">
        <v>344</v>
      </c>
      <c r="AF3" s="97"/>
      <c r="AG3" s="97"/>
    </row>
    <row r="4" spans="1:35" ht="95.25" customHeight="1" x14ac:dyDescent="0.25">
      <c r="A4" s="70" t="s">
        <v>198</v>
      </c>
      <c r="B4" s="84" t="s">
        <v>180</v>
      </c>
      <c r="C4" s="74" t="s">
        <v>112</v>
      </c>
      <c r="D4" s="71" t="s">
        <v>170</v>
      </c>
      <c r="E4" s="120" t="s">
        <v>158</v>
      </c>
      <c r="F4" s="121" t="s">
        <v>175</v>
      </c>
      <c r="G4" s="120" t="s">
        <v>159</v>
      </c>
      <c r="H4" s="121" t="s">
        <v>175</v>
      </c>
      <c r="I4" s="121" t="s">
        <v>160</v>
      </c>
      <c r="J4" s="121" t="s">
        <v>176</v>
      </c>
      <c r="K4" s="121" t="s">
        <v>340</v>
      </c>
      <c r="L4" s="121" t="s">
        <v>176</v>
      </c>
      <c r="M4" s="120" t="s">
        <v>345</v>
      </c>
      <c r="N4" s="121" t="s">
        <v>176</v>
      </c>
      <c r="O4" s="71" t="s">
        <v>223</v>
      </c>
      <c r="P4" s="75" t="s">
        <v>161</v>
      </c>
      <c r="Q4" s="75" t="s">
        <v>176</v>
      </c>
      <c r="R4" s="71" t="s">
        <v>300</v>
      </c>
      <c r="S4" s="75" t="s">
        <v>162</v>
      </c>
      <c r="T4" s="75" t="s">
        <v>176</v>
      </c>
      <c r="U4" s="76" t="s">
        <v>163</v>
      </c>
      <c r="V4" s="76" t="s">
        <v>176</v>
      </c>
      <c r="W4" s="71" t="s">
        <v>171</v>
      </c>
      <c r="X4" s="77" t="s">
        <v>164</v>
      </c>
      <c r="Y4" s="77" t="s">
        <v>176</v>
      </c>
      <c r="Z4" s="78" t="s">
        <v>165</v>
      </c>
      <c r="AA4" s="78" t="s">
        <v>176</v>
      </c>
      <c r="AB4" s="71" t="s">
        <v>301</v>
      </c>
      <c r="AC4" s="78" t="s">
        <v>194</v>
      </c>
      <c r="AD4" s="78" t="s">
        <v>176</v>
      </c>
      <c r="AE4" s="71" t="s">
        <v>172</v>
      </c>
      <c r="AF4" s="98" t="s">
        <v>178</v>
      </c>
      <c r="AG4" s="98" t="s">
        <v>179</v>
      </c>
    </row>
    <row r="5" spans="1:35" x14ac:dyDescent="0.25">
      <c r="A5" s="46" t="s">
        <v>67</v>
      </c>
      <c r="B5" s="90">
        <f>+' NOMINAS ENE-DIC'!I284+' NOMINAS ENE-DIC'!I294+1000000+69800</f>
        <v>4436321.568</v>
      </c>
      <c r="C5" s="91">
        <f>+'%'!B4</f>
        <v>0.35</v>
      </c>
      <c r="D5" s="93">
        <f t="shared" ref="D5:D11" si="0">+B5*C5</f>
        <v>1552712.5488</v>
      </c>
      <c r="E5" s="122">
        <f>+'%'!C4</f>
        <v>0</v>
      </c>
      <c r="F5" s="123">
        <f t="shared" ref="F5:F11" si="1">+B5*E5</f>
        <v>0</v>
      </c>
      <c r="G5" s="122">
        <f>+'%'!D4</f>
        <v>0</v>
      </c>
      <c r="H5" s="123">
        <f t="shared" ref="H5:H11" si="2">+B5*G5</f>
        <v>0</v>
      </c>
      <c r="I5" s="122">
        <f>+'%'!E4</f>
        <v>0</v>
      </c>
      <c r="J5" s="123">
        <f t="shared" ref="J5:J11" si="3">+B5*I5</f>
        <v>0</v>
      </c>
      <c r="K5" s="122">
        <v>0</v>
      </c>
      <c r="L5" s="123">
        <f t="shared" ref="L5:L11" si="4">+B5*K5</f>
        <v>0</v>
      </c>
      <c r="M5" s="122">
        <v>0</v>
      </c>
      <c r="N5" s="123">
        <f>+B5*M5</f>
        <v>0</v>
      </c>
      <c r="O5" s="93">
        <f>+N5+L5+J5+H5+F5</f>
        <v>0</v>
      </c>
      <c r="P5" s="86">
        <f>+'%'!F4</f>
        <v>0.01</v>
      </c>
      <c r="Q5" s="87">
        <f t="shared" ref="Q5:Q11" si="5">+P5*B5</f>
        <v>44363.215680000001</v>
      </c>
      <c r="R5" s="93">
        <f>+Q5</f>
        <v>44363.215680000001</v>
      </c>
      <c r="S5" s="86">
        <f>+'%'!G4</f>
        <v>0.02</v>
      </c>
      <c r="T5" s="87">
        <f t="shared" ref="T5:T11" si="6">+S5*B5</f>
        <v>88726.431360000002</v>
      </c>
      <c r="U5" s="86">
        <f>+'%'!H4</f>
        <v>0.05</v>
      </c>
      <c r="V5" s="87">
        <f t="shared" ref="V5:V11" si="7">+U5*B5</f>
        <v>221816.0784</v>
      </c>
      <c r="W5" s="93">
        <f>+T5+V5</f>
        <v>310542.50975999999</v>
      </c>
      <c r="X5" s="88">
        <f>+'%'!I4</f>
        <v>0.2</v>
      </c>
      <c r="Y5" s="89">
        <f>+X5*B5</f>
        <v>887264.31359999999</v>
      </c>
      <c r="Z5" s="88">
        <f>+'%'!J4</f>
        <v>0.27</v>
      </c>
      <c r="AA5" s="89">
        <f t="shared" ref="AA5:AA11" si="8">+Z5*B5</f>
        <v>1197806.82336</v>
      </c>
      <c r="AB5" s="93">
        <f>+Y5+AA5</f>
        <v>2085071.13696</v>
      </c>
      <c r="AC5" s="88">
        <f>+'%'!K4</f>
        <v>0.1</v>
      </c>
      <c r="AD5" s="89">
        <f t="shared" ref="AD5:AD11" si="9">+AC5*B5</f>
        <v>443632.1568</v>
      </c>
      <c r="AE5" s="93">
        <f>+AD5</f>
        <v>443632.1568</v>
      </c>
      <c r="AF5" s="81">
        <f t="shared" ref="AF5:AF12" si="10">+(D5+O5+R5+W5+AB5+AE5)-B5</f>
        <v>0</v>
      </c>
      <c r="AG5" s="82">
        <f>+C5+E5+G5+I5+K5+M5+P5+S5+U5+X5+Z5+AC5</f>
        <v>1</v>
      </c>
      <c r="AI5" s="162"/>
    </row>
    <row r="6" spans="1:35" x14ac:dyDescent="0.25">
      <c r="A6" s="46" t="s">
        <v>74</v>
      </c>
      <c r="B6" s="90">
        <f>+' NOMINAS ENE-DIC'!I286+' NOMINAS ENE-DIC'!I296+1000000</f>
        <v>3655912.2</v>
      </c>
      <c r="C6" s="91">
        <f>+'%'!B5</f>
        <v>0</v>
      </c>
      <c r="D6" s="93">
        <f t="shared" si="0"/>
        <v>0</v>
      </c>
      <c r="E6" s="122">
        <f>+'%'!C5</f>
        <v>0.4</v>
      </c>
      <c r="F6" s="123">
        <f t="shared" si="1"/>
        <v>1462364.8800000001</v>
      </c>
      <c r="G6" s="122">
        <f>+'%'!D5</f>
        <v>0.6</v>
      </c>
      <c r="H6" s="123">
        <f t="shared" si="2"/>
        <v>2193547.3199999998</v>
      </c>
      <c r="I6" s="122">
        <f>+'%'!E5</f>
        <v>0</v>
      </c>
      <c r="J6" s="123">
        <f t="shared" si="3"/>
        <v>0</v>
      </c>
      <c r="K6" s="122">
        <f>+'%'!G5</f>
        <v>0</v>
      </c>
      <c r="L6" s="123">
        <f t="shared" si="4"/>
        <v>0</v>
      </c>
      <c r="M6" s="122">
        <f>+'%'!I5</f>
        <v>0</v>
      </c>
      <c r="N6" s="123">
        <f t="shared" ref="N6:N11" si="11">+B6*M6</f>
        <v>0</v>
      </c>
      <c r="O6" s="93">
        <f t="shared" ref="O6:O11" si="12">+N6+L6+J6+H6+F6</f>
        <v>3655912.2</v>
      </c>
      <c r="P6" s="86">
        <f>+'%'!F5</f>
        <v>0</v>
      </c>
      <c r="Q6" s="87">
        <f t="shared" si="5"/>
        <v>0</v>
      </c>
      <c r="R6" s="93">
        <f t="shared" ref="R6:R12" si="13">+Q6</f>
        <v>0</v>
      </c>
      <c r="S6" s="86">
        <f>+'%'!G5</f>
        <v>0</v>
      </c>
      <c r="T6" s="87">
        <f t="shared" si="6"/>
        <v>0</v>
      </c>
      <c r="U6" s="86">
        <f>+'%'!H5</f>
        <v>0</v>
      </c>
      <c r="V6" s="87">
        <f t="shared" si="7"/>
        <v>0</v>
      </c>
      <c r="W6" s="93">
        <f t="shared" ref="W6:W11" si="14">+T6+V6</f>
        <v>0</v>
      </c>
      <c r="X6" s="88">
        <f>+'%'!I5</f>
        <v>0</v>
      </c>
      <c r="Y6" s="89">
        <f>+X6*B6</f>
        <v>0</v>
      </c>
      <c r="Z6" s="88">
        <f>+'%'!J5</f>
        <v>0</v>
      </c>
      <c r="AA6" s="89">
        <f t="shared" si="8"/>
        <v>0</v>
      </c>
      <c r="AB6" s="93">
        <f t="shared" ref="AB6:AB11" si="15">+Y6+AA6</f>
        <v>0</v>
      </c>
      <c r="AC6" s="88">
        <f>+'%'!K5</f>
        <v>0</v>
      </c>
      <c r="AD6" s="89">
        <f t="shared" si="9"/>
        <v>0</v>
      </c>
      <c r="AE6" s="93">
        <f t="shared" ref="AE6:AE11" si="16">+AD6</f>
        <v>0</v>
      </c>
      <c r="AF6" s="81">
        <f t="shared" si="10"/>
        <v>0</v>
      </c>
      <c r="AG6" s="82">
        <f t="shared" ref="AG6:AG11" si="17">+C6+E6+G6+I6+K6+M6+P6+S6+U6+X6+Z6+AC6</f>
        <v>1</v>
      </c>
      <c r="AI6" s="162"/>
    </row>
    <row r="7" spans="1:35" x14ac:dyDescent="0.25">
      <c r="A7" s="46" t="s">
        <v>109</v>
      </c>
      <c r="B7" s="90">
        <f>+' NOMINAS ENE-DIC'!I283+' NOMINAS ENE-DIC'!I293+1000000</f>
        <v>3655909.2</v>
      </c>
      <c r="C7" s="91">
        <f>+'%'!B7</f>
        <v>0</v>
      </c>
      <c r="D7" s="93">
        <f t="shared" si="0"/>
        <v>0</v>
      </c>
      <c r="E7" s="122">
        <f>+'%'!C7</f>
        <v>0.25</v>
      </c>
      <c r="F7" s="123">
        <f t="shared" si="1"/>
        <v>913977.3</v>
      </c>
      <c r="G7" s="122">
        <f>+'%'!D7</f>
        <v>0.45</v>
      </c>
      <c r="H7" s="123">
        <f t="shared" si="2"/>
        <v>1645159.1400000001</v>
      </c>
      <c r="I7" s="122">
        <f>+'%'!E7</f>
        <v>0.2</v>
      </c>
      <c r="J7" s="123">
        <f t="shared" si="3"/>
        <v>731181.84000000008</v>
      </c>
      <c r="K7" s="122">
        <v>0.05</v>
      </c>
      <c r="L7" s="123">
        <f>+B7*K7</f>
        <v>182795.46000000002</v>
      </c>
      <c r="M7" s="122">
        <v>0.05</v>
      </c>
      <c r="N7" s="123">
        <f t="shared" si="11"/>
        <v>182795.46000000002</v>
      </c>
      <c r="O7" s="93">
        <f t="shared" si="12"/>
        <v>3655909.2</v>
      </c>
      <c r="P7" s="86">
        <f>+'%'!F7</f>
        <v>0</v>
      </c>
      <c r="Q7" s="87">
        <f t="shared" si="5"/>
        <v>0</v>
      </c>
      <c r="R7" s="93">
        <f t="shared" si="13"/>
        <v>0</v>
      </c>
      <c r="S7" s="86">
        <f>+'%'!G7</f>
        <v>0</v>
      </c>
      <c r="T7" s="87">
        <f t="shared" si="6"/>
        <v>0</v>
      </c>
      <c r="U7" s="86">
        <v>0</v>
      </c>
      <c r="V7" s="87">
        <f t="shared" si="7"/>
        <v>0</v>
      </c>
      <c r="W7" s="93">
        <f t="shared" si="14"/>
        <v>0</v>
      </c>
      <c r="X7" s="88">
        <f>+'%'!I7</f>
        <v>0</v>
      </c>
      <c r="Y7" s="89">
        <v>0</v>
      </c>
      <c r="Z7" s="88">
        <v>0</v>
      </c>
      <c r="AA7" s="89">
        <f t="shared" si="8"/>
        <v>0</v>
      </c>
      <c r="AB7" s="93">
        <f t="shared" si="15"/>
        <v>0</v>
      </c>
      <c r="AC7" s="88">
        <f>+'%'!K7</f>
        <v>0</v>
      </c>
      <c r="AD7" s="89">
        <f t="shared" si="9"/>
        <v>0</v>
      </c>
      <c r="AE7" s="93">
        <f t="shared" si="16"/>
        <v>0</v>
      </c>
      <c r="AF7" s="81">
        <f t="shared" si="10"/>
        <v>0</v>
      </c>
      <c r="AG7" s="82">
        <f t="shared" si="17"/>
        <v>1</v>
      </c>
      <c r="AI7" s="162"/>
    </row>
    <row r="8" spans="1:35" x14ac:dyDescent="0.25">
      <c r="A8" s="46" t="s">
        <v>266</v>
      </c>
      <c r="B8" s="90">
        <f>+' NOMINAS ENE-DIC'!I285+' NOMINAS ENE-DIC'!I295+' NOMINAS ENE-DIC'!I299+250000</f>
        <v>1933685.2</v>
      </c>
      <c r="C8" s="91">
        <v>1</v>
      </c>
      <c r="D8" s="93">
        <f t="shared" si="0"/>
        <v>1933685.2</v>
      </c>
      <c r="E8" s="122">
        <v>0</v>
      </c>
      <c r="F8" s="123">
        <f t="shared" si="1"/>
        <v>0</v>
      </c>
      <c r="G8" s="122">
        <v>0</v>
      </c>
      <c r="H8" s="123">
        <f t="shared" si="2"/>
        <v>0</v>
      </c>
      <c r="I8" s="122">
        <v>0</v>
      </c>
      <c r="J8" s="123">
        <f t="shared" si="3"/>
        <v>0</v>
      </c>
      <c r="K8" s="122">
        <v>0</v>
      </c>
      <c r="L8" s="123">
        <f t="shared" si="4"/>
        <v>0</v>
      </c>
      <c r="M8" s="122">
        <v>0</v>
      </c>
      <c r="N8" s="123">
        <f t="shared" si="11"/>
        <v>0</v>
      </c>
      <c r="O8" s="93">
        <f t="shared" si="12"/>
        <v>0</v>
      </c>
      <c r="P8" s="86">
        <v>0</v>
      </c>
      <c r="Q8" s="87">
        <f t="shared" si="5"/>
        <v>0</v>
      </c>
      <c r="R8" s="93">
        <f t="shared" si="13"/>
        <v>0</v>
      </c>
      <c r="S8" s="86">
        <v>0</v>
      </c>
      <c r="T8" s="87">
        <f t="shared" si="6"/>
        <v>0</v>
      </c>
      <c r="U8" s="86">
        <v>0</v>
      </c>
      <c r="V8" s="87">
        <f t="shared" si="7"/>
        <v>0</v>
      </c>
      <c r="W8" s="93">
        <f t="shared" si="14"/>
        <v>0</v>
      </c>
      <c r="X8" s="88">
        <v>0</v>
      </c>
      <c r="Y8" s="89">
        <v>0</v>
      </c>
      <c r="Z8" s="88">
        <v>0</v>
      </c>
      <c r="AA8" s="89">
        <f t="shared" si="8"/>
        <v>0</v>
      </c>
      <c r="AB8" s="93">
        <f t="shared" si="15"/>
        <v>0</v>
      </c>
      <c r="AC8" s="88">
        <v>0</v>
      </c>
      <c r="AD8" s="89">
        <f t="shared" si="9"/>
        <v>0</v>
      </c>
      <c r="AE8" s="93">
        <f t="shared" si="16"/>
        <v>0</v>
      </c>
      <c r="AF8" s="81">
        <f t="shared" si="10"/>
        <v>0</v>
      </c>
      <c r="AG8" s="82">
        <f t="shared" si="17"/>
        <v>1</v>
      </c>
    </row>
    <row r="9" spans="1:35" x14ac:dyDescent="0.25">
      <c r="A9" s="46" t="s">
        <v>184</v>
      </c>
      <c r="B9" s="90">
        <f>+' NOMINAS ENE-DIC'!D302</f>
        <v>3332000</v>
      </c>
      <c r="C9" s="91">
        <f>+'%'!B8</f>
        <v>0.2</v>
      </c>
      <c r="D9" s="93">
        <f t="shared" si="0"/>
        <v>666400</v>
      </c>
      <c r="E9" s="122">
        <f>+'%'!C8</f>
        <v>0.1</v>
      </c>
      <c r="F9" s="123">
        <f t="shared" si="1"/>
        <v>333200</v>
      </c>
      <c r="G9" s="122">
        <f>+'%'!D8</f>
        <v>0.3</v>
      </c>
      <c r="H9" s="123">
        <f t="shared" si="2"/>
        <v>999600</v>
      </c>
      <c r="I9" s="122">
        <f>+'%'!E8</f>
        <v>0.1</v>
      </c>
      <c r="J9" s="123">
        <f t="shared" si="3"/>
        <v>333200</v>
      </c>
      <c r="K9" s="122">
        <f>+'%'!G8</f>
        <v>0.05</v>
      </c>
      <c r="L9" s="123">
        <f t="shared" si="4"/>
        <v>166600</v>
      </c>
      <c r="M9" s="122">
        <v>0.02</v>
      </c>
      <c r="N9" s="123">
        <f t="shared" si="11"/>
        <v>66640</v>
      </c>
      <c r="O9" s="93">
        <f t="shared" si="12"/>
        <v>1899240</v>
      </c>
      <c r="P9" s="86">
        <f>+'%'!F8</f>
        <v>0</v>
      </c>
      <c r="Q9" s="87">
        <f t="shared" si="5"/>
        <v>0</v>
      </c>
      <c r="R9" s="93">
        <f t="shared" si="13"/>
        <v>0</v>
      </c>
      <c r="S9" s="86">
        <v>0.02</v>
      </c>
      <c r="T9" s="87">
        <f t="shared" si="6"/>
        <v>66640</v>
      </c>
      <c r="U9" s="86">
        <f>+'%'!H8</f>
        <v>0.05</v>
      </c>
      <c r="V9" s="87">
        <f t="shared" si="7"/>
        <v>166600</v>
      </c>
      <c r="W9" s="93">
        <f t="shared" si="14"/>
        <v>233240</v>
      </c>
      <c r="X9" s="88">
        <f>+'%'!I8</f>
        <v>0</v>
      </c>
      <c r="Y9" s="89">
        <v>0</v>
      </c>
      <c r="Z9" s="88">
        <v>0.03</v>
      </c>
      <c r="AA9" s="89">
        <f t="shared" si="8"/>
        <v>99960</v>
      </c>
      <c r="AB9" s="93">
        <f t="shared" si="15"/>
        <v>99960</v>
      </c>
      <c r="AC9" s="88">
        <v>0.13</v>
      </c>
      <c r="AD9" s="89">
        <f t="shared" si="9"/>
        <v>433160</v>
      </c>
      <c r="AE9" s="93">
        <f t="shared" si="16"/>
        <v>433160</v>
      </c>
      <c r="AF9" s="81">
        <f t="shared" si="10"/>
        <v>0</v>
      </c>
      <c r="AG9" s="82">
        <f t="shared" si="17"/>
        <v>1.0000000000000002</v>
      </c>
      <c r="AI9" s="162"/>
    </row>
    <row r="10" spans="1:35" x14ac:dyDescent="0.25">
      <c r="A10" s="46" t="s">
        <v>51</v>
      </c>
      <c r="B10" s="90">
        <f>+' NOMINAS ENE-DIC'!D303</f>
        <v>2250000</v>
      </c>
      <c r="C10" s="91">
        <f>+'%'!B8</f>
        <v>0.2</v>
      </c>
      <c r="D10" s="93">
        <f t="shared" si="0"/>
        <v>450000</v>
      </c>
      <c r="E10" s="122">
        <f>+'%'!C8</f>
        <v>0.1</v>
      </c>
      <c r="F10" s="123">
        <f t="shared" si="1"/>
        <v>225000</v>
      </c>
      <c r="G10" s="122">
        <f>+'%'!D8</f>
        <v>0.3</v>
      </c>
      <c r="H10" s="123">
        <f t="shared" si="2"/>
        <v>675000</v>
      </c>
      <c r="I10" s="122">
        <f>+'%'!E8</f>
        <v>0.1</v>
      </c>
      <c r="J10" s="123">
        <f t="shared" si="3"/>
        <v>225000</v>
      </c>
      <c r="K10" s="122">
        <f>+'%'!G8</f>
        <v>0.05</v>
      </c>
      <c r="L10" s="123">
        <f t="shared" si="4"/>
        <v>112500</v>
      </c>
      <c r="M10" s="122">
        <v>0.02</v>
      </c>
      <c r="N10" s="123">
        <f t="shared" si="11"/>
        <v>45000</v>
      </c>
      <c r="O10" s="93">
        <f t="shared" si="12"/>
        <v>1282500</v>
      </c>
      <c r="P10" s="86">
        <f>+'%'!F8</f>
        <v>0</v>
      </c>
      <c r="Q10" s="87">
        <f t="shared" si="5"/>
        <v>0</v>
      </c>
      <c r="R10" s="93">
        <f t="shared" si="13"/>
        <v>0</v>
      </c>
      <c r="S10" s="86">
        <v>0.02</v>
      </c>
      <c r="T10" s="87">
        <f t="shared" si="6"/>
        <v>45000</v>
      </c>
      <c r="U10" s="86">
        <f>+'%'!H8</f>
        <v>0.05</v>
      </c>
      <c r="V10" s="87">
        <f t="shared" si="7"/>
        <v>112500</v>
      </c>
      <c r="W10" s="93">
        <f t="shared" si="14"/>
        <v>157500</v>
      </c>
      <c r="X10" s="88">
        <f>+'%'!I8</f>
        <v>0</v>
      </c>
      <c r="Y10" s="89">
        <f>+X10*B10</f>
        <v>0</v>
      </c>
      <c r="Z10" s="88">
        <v>0.03</v>
      </c>
      <c r="AA10" s="89">
        <f t="shared" si="8"/>
        <v>67500</v>
      </c>
      <c r="AB10" s="93">
        <f t="shared" si="15"/>
        <v>67500</v>
      </c>
      <c r="AC10" s="88">
        <v>0.13</v>
      </c>
      <c r="AD10" s="89">
        <f t="shared" si="9"/>
        <v>292500</v>
      </c>
      <c r="AE10" s="93">
        <f t="shared" si="16"/>
        <v>292500</v>
      </c>
      <c r="AF10" s="81">
        <f t="shared" si="10"/>
        <v>0</v>
      </c>
      <c r="AG10" s="82">
        <f t="shared" si="17"/>
        <v>1.0000000000000002</v>
      </c>
      <c r="AI10" s="162"/>
    </row>
    <row r="11" spans="1:35" x14ac:dyDescent="0.25">
      <c r="A11" s="46" t="s">
        <v>185</v>
      </c>
      <c r="B11" s="90">
        <f>+' NOMINAS ENE-DIC'!D301</f>
        <v>1120000</v>
      </c>
      <c r="C11" s="91">
        <f>+'%'!B9</f>
        <v>0.2</v>
      </c>
      <c r="D11" s="93">
        <f t="shared" si="0"/>
        <v>224000</v>
      </c>
      <c r="E11" s="122">
        <f>+'%'!C9</f>
        <v>0.1</v>
      </c>
      <c r="F11" s="123">
        <f t="shared" si="1"/>
        <v>112000</v>
      </c>
      <c r="G11" s="122">
        <f>+'%'!D9</f>
        <v>0.2</v>
      </c>
      <c r="H11" s="123">
        <f t="shared" si="2"/>
        <v>224000</v>
      </c>
      <c r="I11" s="122">
        <f>+'%'!E9</f>
        <v>0.15</v>
      </c>
      <c r="J11" s="123">
        <f t="shared" si="3"/>
        <v>168000</v>
      </c>
      <c r="K11" s="122">
        <f>+'%'!G9</f>
        <v>0.05</v>
      </c>
      <c r="L11" s="123">
        <f t="shared" si="4"/>
        <v>56000</v>
      </c>
      <c r="M11" s="122">
        <v>0.02</v>
      </c>
      <c r="N11" s="123">
        <f t="shared" si="11"/>
        <v>22400</v>
      </c>
      <c r="O11" s="93">
        <f t="shared" si="12"/>
        <v>582400</v>
      </c>
      <c r="P11" s="86">
        <f>+'%'!F9</f>
        <v>0</v>
      </c>
      <c r="Q11" s="87">
        <f t="shared" si="5"/>
        <v>0</v>
      </c>
      <c r="R11" s="93">
        <f t="shared" si="13"/>
        <v>0</v>
      </c>
      <c r="S11" s="86">
        <v>0.02</v>
      </c>
      <c r="T11" s="87">
        <f t="shared" si="6"/>
        <v>22400</v>
      </c>
      <c r="U11" s="86">
        <f>+'%'!H9</f>
        <v>0.1</v>
      </c>
      <c r="V11" s="87">
        <f t="shared" si="7"/>
        <v>112000</v>
      </c>
      <c r="W11" s="93">
        <f t="shared" si="14"/>
        <v>134400</v>
      </c>
      <c r="X11" s="88">
        <f>+'%'!I9</f>
        <v>0</v>
      </c>
      <c r="Y11" s="89">
        <f>+X11*B11</f>
        <v>0</v>
      </c>
      <c r="Z11" s="88">
        <v>0.13</v>
      </c>
      <c r="AA11" s="89">
        <f t="shared" si="8"/>
        <v>145600</v>
      </c>
      <c r="AB11" s="93">
        <f t="shared" si="15"/>
        <v>145600</v>
      </c>
      <c r="AC11" s="88">
        <v>0.03</v>
      </c>
      <c r="AD11" s="89">
        <f t="shared" si="9"/>
        <v>33600</v>
      </c>
      <c r="AE11" s="93">
        <f t="shared" si="16"/>
        <v>33600</v>
      </c>
      <c r="AF11" s="81">
        <f t="shared" si="10"/>
        <v>0</v>
      </c>
      <c r="AG11" s="82">
        <f t="shared" si="17"/>
        <v>1</v>
      </c>
      <c r="AI11" s="162"/>
    </row>
    <row r="12" spans="1:35" x14ac:dyDescent="0.25">
      <c r="A12" s="46" t="s">
        <v>181</v>
      </c>
      <c r="B12" s="92">
        <f>SUM(B5:B11)</f>
        <v>20383828.167999998</v>
      </c>
      <c r="C12" s="44"/>
      <c r="D12" s="93">
        <f>SUM(D5:D11)</f>
        <v>4826797.7488000002</v>
      </c>
      <c r="E12" s="124"/>
      <c r="F12" s="125">
        <f>SUM(F5:F11)</f>
        <v>3046542.18</v>
      </c>
      <c r="G12" s="124"/>
      <c r="H12" s="125">
        <f>SUM(H5:H11)</f>
        <v>5737306.46</v>
      </c>
      <c r="I12" s="124"/>
      <c r="J12" s="125">
        <f>SUM(J5:J11)</f>
        <v>1457381.84</v>
      </c>
      <c r="K12" s="125"/>
      <c r="L12" s="125">
        <f>SUM(L5:L11)</f>
        <v>517895.46</v>
      </c>
      <c r="M12" s="125"/>
      <c r="N12" s="125">
        <f>SUM(N5:N11)</f>
        <v>316835.46000000002</v>
      </c>
      <c r="O12" s="93">
        <f>SUM(O5:O11)</f>
        <v>11075961.4</v>
      </c>
      <c r="P12" s="44"/>
      <c r="Q12" s="95">
        <f>SUM(Q5:Q11)</f>
        <v>44363.215680000001</v>
      </c>
      <c r="R12" s="93">
        <f t="shared" si="13"/>
        <v>44363.215680000001</v>
      </c>
      <c r="S12" s="44"/>
      <c r="T12" s="95">
        <f>SUM(T5:T11)</f>
        <v>222766.43135999999</v>
      </c>
      <c r="U12" s="44"/>
      <c r="V12" s="95">
        <f>SUM(V5:V11)</f>
        <v>612916.0784</v>
      </c>
      <c r="W12" s="93">
        <f>SUM(W5:W11)</f>
        <v>835682.50976000004</v>
      </c>
      <c r="X12" s="44"/>
      <c r="Y12" s="94">
        <f>SUM(Y5:Y11)</f>
        <v>887264.31359999999</v>
      </c>
      <c r="Z12" s="44"/>
      <c r="AA12" s="94">
        <f>SUM(AA5:AA11)</f>
        <v>1510866.82336</v>
      </c>
      <c r="AB12" s="93">
        <f>SUM(AB5:AB11)</f>
        <v>2398131.1369599998</v>
      </c>
      <c r="AC12" s="79"/>
      <c r="AD12" s="94">
        <f>SUM(AD5:AD11)</f>
        <v>1202892.1568</v>
      </c>
      <c r="AE12" s="93">
        <f>SUM(AE5:AE11)</f>
        <v>1202892.1568</v>
      </c>
      <c r="AF12" s="81">
        <f t="shared" si="10"/>
        <v>0</v>
      </c>
      <c r="AG12" s="82">
        <f>+C12+E12+G12+I12+P12+S12+U12+X12+Z12+AC12</f>
        <v>0</v>
      </c>
    </row>
    <row r="15" spans="1:35" ht="84.75" customHeight="1" x14ac:dyDescent="0.25">
      <c r="A15" s="71" t="s">
        <v>182</v>
      </c>
      <c r="B15" s="84" t="s">
        <v>180</v>
      </c>
      <c r="C15" s="74" t="s">
        <v>112</v>
      </c>
      <c r="D15" s="71" t="s">
        <v>170</v>
      </c>
      <c r="E15" s="120" t="s">
        <v>158</v>
      </c>
      <c r="F15" s="121" t="s">
        <v>175</v>
      </c>
      <c r="G15" s="120" t="s">
        <v>159</v>
      </c>
      <c r="H15" s="121" t="s">
        <v>175</v>
      </c>
      <c r="I15" s="121" t="s">
        <v>160</v>
      </c>
      <c r="J15" s="121" t="s">
        <v>176</v>
      </c>
      <c r="K15" s="121" t="s">
        <v>340</v>
      </c>
      <c r="L15" s="121" t="s">
        <v>176</v>
      </c>
      <c r="M15" s="120" t="s">
        <v>345</v>
      </c>
      <c r="N15" s="121" t="s">
        <v>176</v>
      </c>
      <c r="O15" s="71" t="s">
        <v>222</v>
      </c>
      <c r="P15" s="75" t="s">
        <v>161</v>
      </c>
      <c r="Q15" s="75" t="s">
        <v>176</v>
      </c>
      <c r="R15" s="71" t="s">
        <v>300</v>
      </c>
      <c r="S15" s="75" t="s">
        <v>162</v>
      </c>
      <c r="T15" s="75" t="s">
        <v>176</v>
      </c>
      <c r="U15" s="76" t="s">
        <v>163</v>
      </c>
      <c r="V15" s="76" t="s">
        <v>176</v>
      </c>
      <c r="W15" s="71" t="s">
        <v>171</v>
      </c>
      <c r="X15" s="77" t="s">
        <v>164</v>
      </c>
      <c r="Y15" s="77" t="s">
        <v>176</v>
      </c>
      <c r="Z15" s="78" t="s">
        <v>165</v>
      </c>
      <c r="AA15" s="78" t="s">
        <v>176</v>
      </c>
      <c r="AB15" s="71" t="s">
        <v>301</v>
      </c>
      <c r="AC15" s="78" t="s">
        <v>194</v>
      </c>
      <c r="AD15" s="78" t="s">
        <v>176</v>
      </c>
      <c r="AE15" s="71" t="s">
        <v>172</v>
      </c>
      <c r="AF15" s="98" t="s">
        <v>178</v>
      </c>
      <c r="AG15" s="98" t="s">
        <v>179</v>
      </c>
      <c r="AH15" s="158" t="s">
        <v>244</v>
      </c>
    </row>
    <row r="16" spans="1:35" x14ac:dyDescent="0.25">
      <c r="A16" s="46" t="s">
        <v>183</v>
      </c>
      <c r="B16" s="90">
        <v>1311360</v>
      </c>
      <c r="C16" s="91">
        <v>0.1</v>
      </c>
      <c r="D16" s="85">
        <f>+B16*C16</f>
        <v>131136</v>
      </c>
      <c r="E16" s="122">
        <v>0.05</v>
      </c>
      <c r="F16" s="123">
        <f>+B16*E16</f>
        <v>65568</v>
      </c>
      <c r="G16" s="122">
        <v>0.15</v>
      </c>
      <c r="H16" s="123">
        <f>+B16*G16</f>
        <v>196704</v>
      </c>
      <c r="I16" s="122">
        <v>0.01</v>
      </c>
      <c r="J16" s="123">
        <f>+B16*I16</f>
        <v>13113.6</v>
      </c>
      <c r="K16" s="122">
        <v>0.1</v>
      </c>
      <c r="L16" s="123">
        <f>+B16*K16</f>
        <v>131136</v>
      </c>
      <c r="M16" s="122">
        <v>0.03</v>
      </c>
      <c r="N16" s="123">
        <f>+B16*M16</f>
        <v>39340.799999999996</v>
      </c>
      <c r="O16" s="93">
        <f t="shared" ref="O16:O50" si="18">+N16+L16+J16+H16+F16</f>
        <v>445862.40000000002</v>
      </c>
      <c r="P16" s="86">
        <v>0.01</v>
      </c>
      <c r="Q16" s="87">
        <f t="shared" ref="Q16:Q50" si="19">+P16*B16</f>
        <v>13113.6</v>
      </c>
      <c r="R16" s="93">
        <f>+Q16</f>
        <v>13113.6</v>
      </c>
      <c r="S16" s="86">
        <v>0.03</v>
      </c>
      <c r="T16" s="87">
        <f t="shared" ref="T16:T50" si="20">+S16*B16</f>
        <v>39340.799999999996</v>
      </c>
      <c r="U16" s="86">
        <v>0.05</v>
      </c>
      <c r="V16" s="87">
        <f t="shared" ref="V16:V50" si="21">+U16*B16</f>
        <v>65568</v>
      </c>
      <c r="W16" s="93">
        <f>+T16+V16</f>
        <v>104908.79999999999</v>
      </c>
      <c r="X16" s="88">
        <v>0.15</v>
      </c>
      <c r="Y16" s="89">
        <f t="shared" ref="Y16:Y47" si="22">+X16*B16</f>
        <v>196704</v>
      </c>
      <c r="Z16" s="88">
        <v>0.32</v>
      </c>
      <c r="AA16" s="89">
        <f t="shared" ref="AA16:AA50" si="23">+Z16*B16</f>
        <v>419635.20000000001</v>
      </c>
      <c r="AB16" s="93">
        <f>+Y16+AA16</f>
        <v>616339.19999999995</v>
      </c>
      <c r="AC16" s="88">
        <v>0</v>
      </c>
      <c r="AD16" s="89">
        <f t="shared" ref="AD16:AD50" si="24">+AC16*B16</f>
        <v>0</v>
      </c>
      <c r="AE16" s="93">
        <f>+AD16</f>
        <v>0</v>
      </c>
      <c r="AF16" s="81">
        <f>+(D16+O16+R16+W16+AB16+AE16)-B16</f>
        <v>0</v>
      </c>
      <c r="AG16" s="82">
        <f t="shared" ref="AG16:AG50" si="25">+C16+E16+G16+I16+K16+M16+P16+S16+U16+X16+Z16+AC16</f>
        <v>1.0000000000000002</v>
      </c>
      <c r="AH16" s="159">
        <f t="shared" ref="AH16:AH50" si="26">+AE16+W16+O16</f>
        <v>550771.19999999995</v>
      </c>
    </row>
    <row r="17" spans="1:34" x14ac:dyDescent="0.25">
      <c r="A17" s="46" t="s">
        <v>81</v>
      </c>
      <c r="B17" s="90">
        <f>13744-4999</f>
        <v>8745</v>
      </c>
      <c r="C17" s="91">
        <v>0</v>
      </c>
      <c r="D17" s="85">
        <f t="shared" ref="D17:D50" si="27">+B17*C17</f>
        <v>0</v>
      </c>
      <c r="E17" s="122">
        <v>0.6</v>
      </c>
      <c r="F17" s="123">
        <f t="shared" ref="F17:F50" si="28">+B17*E17</f>
        <v>5247</v>
      </c>
      <c r="G17" s="122">
        <v>0.4</v>
      </c>
      <c r="H17" s="123">
        <f t="shared" ref="H17:H50" si="29">+B17*G17</f>
        <v>3498</v>
      </c>
      <c r="I17" s="122">
        <v>0</v>
      </c>
      <c r="J17" s="123">
        <f t="shared" ref="J17:J50" si="30">+B17*I17</f>
        <v>0</v>
      </c>
      <c r="K17" s="122">
        <v>0</v>
      </c>
      <c r="L17" s="123">
        <f t="shared" ref="L17:L50" si="31">+B17*K17</f>
        <v>0</v>
      </c>
      <c r="M17" s="122">
        <v>0</v>
      </c>
      <c r="N17" s="123">
        <f t="shared" ref="N17:N49" si="32">+B17*M17</f>
        <v>0</v>
      </c>
      <c r="O17" s="93">
        <f t="shared" si="18"/>
        <v>8745</v>
      </c>
      <c r="P17" s="86">
        <v>0</v>
      </c>
      <c r="Q17" s="87">
        <f t="shared" si="19"/>
        <v>0</v>
      </c>
      <c r="R17" s="93">
        <f t="shared" ref="R17:R50" si="33">+Q17</f>
        <v>0</v>
      </c>
      <c r="S17" s="86">
        <v>0</v>
      </c>
      <c r="T17" s="87">
        <f t="shared" si="20"/>
        <v>0</v>
      </c>
      <c r="U17" s="86">
        <v>0</v>
      </c>
      <c r="V17" s="87">
        <f t="shared" si="21"/>
        <v>0</v>
      </c>
      <c r="W17" s="93">
        <f t="shared" ref="W17:W50" si="34">+T17+V17</f>
        <v>0</v>
      </c>
      <c r="X17" s="88">
        <v>0</v>
      </c>
      <c r="Y17" s="89">
        <f t="shared" si="22"/>
        <v>0</v>
      </c>
      <c r="Z17" s="88">
        <v>0</v>
      </c>
      <c r="AA17" s="89">
        <f t="shared" si="23"/>
        <v>0</v>
      </c>
      <c r="AB17" s="93">
        <f t="shared" ref="AB17:AB50" si="35">+Y17+AA17</f>
        <v>0</v>
      </c>
      <c r="AC17" s="88">
        <v>0</v>
      </c>
      <c r="AD17" s="89">
        <f t="shared" si="24"/>
        <v>0</v>
      </c>
      <c r="AE17" s="93">
        <f t="shared" ref="AE17:AE50" si="36">+AD17</f>
        <v>0</v>
      </c>
      <c r="AF17" s="81">
        <f t="shared" ref="AF17:AF50" si="37">+(D17+O17+R17+W17+AB17+AE17)-B17</f>
        <v>0</v>
      </c>
      <c r="AG17" s="82">
        <f t="shared" si="25"/>
        <v>1</v>
      </c>
      <c r="AH17" s="159">
        <f t="shared" si="26"/>
        <v>8745</v>
      </c>
    </row>
    <row r="18" spans="1:34" x14ac:dyDescent="0.25">
      <c r="A18" s="46" t="s">
        <v>268</v>
      </c>
      <c r="B18" s="90">
        <v>500000</v>
      </c>
      <c r="C18" s="91">
        <v>0</v>
      </c>
      <c r="D18" s="85">
        <f t="shared" si="27"/>
        <v>0</v>
      </c>
      <c r="E18" s="122">
        <v>0.6</v>
      </c>
      <c r="F18" s="123">
        <f t="shared" si="28"/>
        <v>300000</v>
      </c>
      <c r="G18" s="122">
        <v>0.4</v>
      </c>
      <c r="H18" s="123">
        <f t="shared" si="29"/>
        <v>200000</v>
      </c>
      <c r="I18" s="122">
        <v>0</v>
      </c>
      <c r="J18" s="123">
        <f t="shared" si="30"/>
        <v>0</v>
      </c>
      <c r="K18" s="122">
        <v>0</v>
      </c>
      <c r="L18" s="123">
        <f t="shared" si="31"/>
        <v>0</v>
      </c>
      <c r="M18" s="122">
        <v>0</v>
      </c>
      <c r="N18" s="123">
        <f t="shared" si="32"/>
        <v>0</v>
      </c>
      <c r="O18" s="93">
        <f t="shared" si="18"/>
        <v>500000</v>
      </c>
      <c r="P18" s="86">
        <v>0</v>
      </c>
      <c r="Q18" s="87">
        <f t="shared" si="19"/>
        <v>0</v>
      </c>
      <c r="R18" s="93">
        <f t="shared" si="33"/>
        <v>0</v>
      </c>
      <c r="S18" s="86">
        <v>0</v>
      </c>
      <c r="T18" s="87">
        <f t="shared" si="20"/>
        <v>0</v>
      </c>
      <c r="U18" s="86">
        <v>0</v>
      </c>
      <c r="V18" s="87">
        <f t="shared" si="21"/>
        <v>0</v>
      </c>
      <c r="W18" s="93">
        <f t="shared" si="34"/>
        <v>0</v>
      </c>
      <c r="X18" s="88">
        <v>0</v>
      </c>
      <c r="Y18" s="89">
        <f t="shared" si="22"/>
        <v>0</v>
      </c>
      <c r="Z18" s="88">
        <v>0</v>
      </c>
      <c r="AA18" s="89">
        <f t="shared" si="23"/>
        <v>0</v>
      </c>
      <c r="AB18" s="93">
        <f t="shared" si="35"/>
        <v>0</v>
      </c>
      <c r="AC18" s="88">
        <v>0</v>
      </c>
      <c r="AD18" s="89">
        <f t="shared" si="24"/>
        <v>0</v>
      </c>
      <c r="AE18" s="93">
        <f t="shared" si="36"/>
        <v>0</v>
      </c>
      <c r="AF18" s="81">
        <f t="shared" si="37"/>
        <v>0</v>
      </c>
      <c r="AG18" s="82">
        <f t="shared" si="25"/>
        <v>1</v>
      </c>
      <c r="AH18" s="159">
        <f t="shared" si="26"/>
        <v>500000</v>
      </c>
    </row>
    <row r="19" spans="1:34" x14ac:dyDescent="0.25">
      <c r="A19" s="46" t="s">
        <v>186</v>
      </c>
      <c r="B19" s="90">
        <f>750000+400000+360000+780000</f>
        <v>2290000</v>
      </c>
      <c r="C19" s="91">
        <v>0.1</v>
      </c>
      <c r="D19" s="85">
        <f t="shared" si="27"/>
        <v>229000</v>
      </c>
      <c r="E19" s="122">
        <v>0</v>
      </c>
      <c r="F19" s="123">
        <f t="shared" si="28"/>
        <v>0</v>
      </c>
      <c r="G19" s="122">
        <v>0</v>
      </c>
      <c r="H19" s="123">
        <f t="shared" si="29"/>
        <v>0</v>
      </c>
      <c r="I19" s="122">
        <v>0</v>
      </c>
      <c r="J19" s="123">
        <f t="shared" si="30"/>
        <v>0</v>
      </c>
      <c r="K19" s="122">
        <v>0.03</v>
      </c>
      <c r="L19" s="123">
        <f t="shared" si="31"/>
        <v>68700</v>
      </c>
      <c r="M19" s="122">
        <v>0.03</v>
      </c>
      <c r="N19" s="123">
        <f t="shared" si="32"/>
        <v>68700</v>
      </c>
      <c r="O19" s="93">
        <f t="shared" si="18"/>
        <v>137400</v>
      </c>
      <c r="P19" s="86">
        <v>0.01</v>
      </c>
      <c r="Q19" s="87">
        <f t="shared" si="19"/>
        <v>22900</v>
      </c>
      <c r="R19" s="93">
        <f t="shared" si="33"/>
        <v>22900</v>
      </c>
      <c r="S19" s="86">
        <v>0.2</v>
      </c>
      <c r="T19" s="87">
        <f t="shared" si="20"/>
        <v>458000</v>
      </c>
      <c r="U19" s="86">
        <v>0.15</v>
      </c>
      <c r="V19" s="87">
        <f t="shared" si="21"/>
        <v>343500</v>
      </c>
      <c r="W19" s="93">
        <f t="shared" si="34"/>
        <v>801500</v>
      </c>
      <c r="X19" s="88">
        <v>0.2</v>
      </c>
      <c r="Y19" s="89">
        <f t="shared" si="22"/>
        <v>458000</v>
      </c>
      <c r="Z19" s="88">
        <v>0.18</v>
      </c>
      <c r="AA19" s="89">
        <f t="shared" si="23"/>
        <v>412200</v>
      </c>
      <c r="AB19" s="93">
        <f t="shared" si="35"/>
        <v>870200</v>
      </c>
      <c r="AC19" s="88">
        <v>0.1</v>
      </c>
      <c r="AD19" s="89">
        <f t="shared" si="24"/>
        <v>229000</v>
      </c>
      <c r="AE19" s="93">
        <f t="shared" si="36"/>
        <v>229000</v>
      </c>
      <c r="AF19" s="81">
        <f t="shared" si="37"/>
        <v>0</v>
      </c>
      <c r="AG19" s="82">
        <f t="shared" si="25"/>
        <v>0.99999999999999989</v>
      </c>
      <c r="AH19" s="159">
        <f t="shared" si="26"/>
        <v>1167900</v>
      </c>
    </row>
    <row r="20" spans="1:34" x14ac:dyDescent="0.25">
      <c r="A20" s="46" t="s">
        <v>276</v>
      </c>
      <c r="B20" s="90"/>
      <c r="C20" s="91">
        <v>0</v>
      </c>
      <c r="D20" s="85">
        <f t="shared" si="27"/>
        <v>0</v>
      </c>
      <c r="E20" s="122">
        <v>0</v>
      </c>
      <c r="F20" s="123">
        <f t="shared" si="28"/>
        <v>0</v>
      </c>
      <c r="G20" s="122">
        <v>0</v>
      </c>
      <c r="H20" s="123">
        <f t="shared" si="29"/>
        <v>0</v>
      </c>
      <c r="I20" s="122">
        <v>0</v>
      </c>
      <c r="J20" s="123">
        <f t="shared" si="30"/>
        <v>0</v>
      </c>
      <c r="K20" s="122">
        <v>0</v>
      </c>
      <c r="L20" s="123">
        <f t="shared" si="31"/>
        <v>0</v>
      </c>
      <c r="M20" s="122">
        <v>0</v>
      </c>
      <c r="N20" s="123">
        <f t="shared" si="32"/>
        <v>0</v>
      </c>
      <c r="O20" s="93">
        <f t="shared" si="18"/>
        <v>0</v>
      </c>
      <c r="P20" s="86">
        <v>0</v>
      </c>
      <c r="Q20" s="87">
        <f t="shared" si="19"/>
        <v>0</v>
      </c>
      <c r="R20" s="93">
        <f t="shared" si="33"/>
        <v>0</v>
      </c>
      <c r="S20" s="86">
        <v>0</v>
      </c>
      <c r="T20" s="87">
        <f t="shared" si="20"/>
        <v>0</v>
      </c>
      <c r="U20" s="86">
        <v>0</v>
      </c>
      <c r="V20" s="87">
        <f t="shared" si="21"/>
        <v>0</v>
      </c>
      <c r="W20" s="93">
        <f t="shared" si="34"/>
        <v>0</v>
      </c>
      <c r="X20" s="88">
        <v>0</v>
      </c>
      <c r="Y20" s="89">
        <f t="shared" si="22"/>
        <v>0</v>
      </c>
      <c r="Z20" s="88">
        <v>0</v>
      </c>
      <c r="AA20" s="89">
        <f t="shared" si="23"/>
        <v>0</v>
      </c>
      <c r="AB20" s="93">
        <f t="shared" si="35"/>
        <v>0</v>
      </c>
      <c r="AC20" s="88">
        <v>1</v>
      </c>
      <c r="AD20" s="89">
        <f t="shared" si="24"/>
        <v>0</v>
      </c>
      <c r="AE20" s="93">
        <f t="shared" si="36"/>
        <v>0</v>
      </c>
      <c r="AF20" s="81">
        <f t="shared" si="37"/>
        <v>0</v>
      </c>
      <c r="AG20" s="82">
        <f t="shared" si="25"/>
        <v>1</v>
      </c>
      <c r="AH20" s="159">
        <f t="shared" si="26"/>
        <v>0</v>
      </c>
    </row>
    <row r="21" spans="1:34" x14ac:dyDescent="0.25">
      <c r="A21" s="46" t="s">
        <v>277</v>
      </c>
      <c r="B21" s="90">
        <v>1409162</v>
      </c>
      <c r="C21" s="91">
        <v>0.1</v>
      </c>
      <c r="D21" s="85">
        <f t="shared" si="27"/>
        <v>140916.20000000001</v>
      </c>
      <c r="E21" s="122">
        <v>0</v>
      </c>
      <c r="F21" s="123">
        <f t="shared" si="28"/>
        <v>0</v>
      </c>
      <c r="G21" s="122">
        <v>0</v>
      </c>
      <c r="H21" s="123">
        <f t="shared" si="29"/>
        <v>0</v>
      </c>
      <c r="I21" s="122">
        <v>0</v>
      </c>
      <c r="J21" s="123">
        <f t="shared" si="30"/>
        <v>0</v>
      </c>
      <c r="K21" s="122">
        <v>0</v>
      </c>
      <c r="L21" s="123">
        <f t="shared" si="31"/>
        <v>0</v>
      </c>
      <c r="M21" s="122">
        <v>0</v>
      </c>
      <c r="N21" s="123">
        <f t="shared" si="32"/>
        <v>0</v>
      </c>
      <c r="O21" s="93">
        <f t="shared" si="18"/>
        <v>0</v>
      </c>
      <c r="P21" s="86">
        <v>0</v>
      </c>
      <c r="Q21" s="87">
        <f t="shared" si="19"/>
        <v>0</v>
      </c>
      <c r="R21" s="93">
        <f t="shared" si="33"/>
        <v>0</v>
      </c>
      <c r="S21" s="86">
        <v>0</v>
      </c>
      <c r="T21" s="87">
        <f t="shared" si="20"/>
        <v>0</v>
      </c>
      <c r="U21" s="86">
        <v>0</v>
      </c>
      <c r="V21" s="87">
        <f t="shared" si="21"/>
        <v>0</v>
      </c>
      <c r="W21" s="93">
        <f t="shared" si="34"/>
        <v>0</v>
      </c>
      <c r="X21" s="88">
        <v>0.1</v>
      </c>
      <c r="Y21" s="89">
        <f t="shared" si="22"/>
        <v>140916.20000000001</v>
      </c>
      <c r="Z21" s="88">
        <v>0.7</v>
      </c>
      <c r="AA21" s="89">
        <f t="shared" si="23"/>
        <v>986413.39999999991</v>
      </c>
      <c r="AB21" s="93">
        <f t="shared" si="35"/>
        <v>1127329.5999999999</v>
      </c>
      <c r="AC21" s="88">
        <v>0.1</v>
      </c>
      <c r="AD21" s="89">
        <f t="shared" si="24"/>
        <v>140916.20000000001</v>
      </c>
      <c r="AE21" s="93">
        <f t="shared" si="36"/>
        <v>140916.20000000001</v>
      </c>
      <c r="AF21" s="81">
        <f t="shared" si="37"/>
        <v>0</v>
      </c>
      <c r="AG21" s="82">
        <f t="shared" si="25"/>
        <v>0.99999999999999989</v>
      </c>
      <c r="AH21" s="159">
        <f t="shared" si="26"/>
        <v>140916.20000000001</v>
      </c>
    </row>
    <row r="22" spans="1:34" x14ac:dyDescent="0.25">
      <c r="A22" s="46" t="s">
        <v>121</v>
      </c>
      <c r="B22" s="90">
        <v>387193</v>
      </c>
      <c r="C22" s="91">
        <v>0</v>
      </c>
      <c r="D22" s="85">
        <f t="shared" si="27"/>
        <v>0</v>
      </c>
      <c r="E22" s="122">
        <v>0</v>
      </c>
      <c r="F22" s="123">
        <f t="shared" si="28"/>
        <v>0</v>
      </c>
      <c r="G22" s="122">
        <v>0</v>
      </c>
      <c r="H22" s="123">
        <f t="shared" si="29"/>
        <v>0</v>
      </c>
      <c r="I22" s="122">
        <v>0</v>
      </c>
      <c r="J22" s="123">
        <f t="shared" si="30"/>
        <v>0</v>
      </c>
      <c r="K22" s="122">
        <v>0</v>
      </c>
      <c r="L22" s="123">
        <f t="shared" si="31"/>
        <v>0</v>
      </c>
      <c r="M22" s="122">
        <v>0</v>
      </c>
      <c r="N22" s="123">
        <f t="shared" si="32"/>
        <v>0</v>
      </c>
      <c r="O22" s="93">
        <f t="shared" si="18"/>
        <v>0</v>
      </c>
      <c r="P22" s="86">
        <v>0</v>
      </c>
      <c r="Q22" s="87">
        <f t="shared" si="19"/>
        <v>0</v>
      </c>
      <c r="R22" s="93">
        <f t="shared" si="33"/>
        <v>0</v>
      </c>
      <c r="S22" s="86">
        <v>0</v>
      </c>
      <c r="T22" s="87">
        <f t="shared" si="20"/>
        <v>0</v>
      </c>
      <c r="U22" s="86">
        <v>0</v>
      </c>
      <c r="V22" s="87">
        <f t="shared" si="21"/>
        <v>0</v>
      </c>
      <c r="W22" s="93">
        <f t="shared" si="34"/>
        <v>0</v>
      </c>
      <c r="X22" s="88">
        <v>0</v>
      </c>
      <c r="Y22" s="89">
        <f t="shared" si="22"/>
        <v>0</v>
      </c>
      <c r="Z22" s="88">
        <v>0</v>
      </c>
      <c r="AA22" s="89">
        <f t="shared" si="23"/>
        <v>0</v>
      </c>
      <c r="AB22" s="93">
        <f t="shared" si="35"/>
        <v>0</v>
      </c>
      <c r="AC22" s="88">
        <v>1</v>
      </c>
      <c r="AD22" s="89">
        <f t="shared" si="24"/>
        <v>387193</v>
      </c>
      <c r="AE22" s="93">
        <f t="shared" si="36"/>
        <v>387193</v>
      </c>
      <c r="AF22" s="81">
        <f t="shared" si="37"/>
        <v>0</v>
      </c>
      <c r="AG22" s="82">
        <f t="shared" si="25"/>
        <v>1</v>
      </c>
      <c r="AH22" s="159">
        <f t="shared" si="26"/>
        <v>387193</v>
      </c>
    </row>
    <row r="23" spans="1:34" x14ac:dyDescent="0.25">
      <c r="A23" s="46" t="s">
        <v>111</v>
      </c>
      <c r="B23" s="90">
        <f>106680+461665</f>
        <v>568345</v>
      </c>
      <c r="C23" s="91">
        <v>0</v>
      </c>
      <c r="D23" s="85">
        <f t="shared" si="27"/>
        <v>0</v>
      </c>
      <c r="E23" s="122">
        <v>0</v>
      </c>
      <c r="F23" s="123">
        <f t="shared" si="28"/>
        <v>0</v>
      </c>
      <c r="G23" s="122">
        <v>0</v>
      </c>
      <c r="H23" s="123">
        <f t="shared" si="29"/>
        <v>0</v>
      </c>
      <c r="I23" s="122">
        <v>0</v>
      </c>
      <c r="J23" s="123">
        <f t="shared" si="30"/>
        <v>0</v>
      </c>
      <c r="K23" s="122">
        <v>0</v>
      </c>
      <c r="L23" s="123">
        <f t="shared" si="31"/>
        <v>0</v>
      </c>
      <c r="M23" s="122">
        <v>0</v>
      </c>
      <c r="N23" s="123">
        <f t="shared" si="32"/>
        <v>0</v>
      </c>
      <c r="O23" s="93">
        <f t="shared" si="18"/>
        <v>0</v>
      </c>
      <c r="P23" s="86">
        <v>0</v>
      </c>
      <c r="Q23" s="87">
        <f t="shared" si="19"/>
        <v>0</v>
      </c>
      <c r="R23" s="93">
        <f t="shared" si="33"/>
        <v>0</v>
      </c>
      <c r="S23" s="86">
        <v>0</v>
      </c>
      <c r="T23" s="87">
        <f t="shared" si="20"/>
        <v>0</v>
      </c>
      <c r="U23" s="86">
        <v>0</v>
      </c>
      <c r="V23" s="87">
        <f t="shared" si="21"/>
        <v>0</v>
      </c>
      <c r="W23" s="93">
        <f t="shared" si="34"/>
        <v>0</v>
      </c>
      <c r="X23" s="88">
        <v>0</v>
      </c>
      <c r="Y23" s="89">
        <f t="shared" si="22"/>
        <v>0</v>
      </c>
      <c r="Z23" s="88">
        <v>0</v>
      </c>
      <c r="AA23" s="89">
        <f t="shared" si="23"/>
        <v>0</v>
      </c>
      <c r="AB23" s="93">
        <f t="shared" si="35"/>
        <v>0</v>
      </c>
      <c r="AC23" s="88">
        <v>1</v>
      </c>
      <c r="AD23" s="89">
        <f t="shared" si="24"/>
        <v>568345</v>
      </c>
      <c r="AE23" s="93">
        <f t="shared" si="36"/>
        <v>568345</v>
      </c>
      <c r="AF23" s="81">
        <f t="shared" si="37"/>
        <v>0</v>
      </c>
      <c r="AG23" s="82">
        <f t="shared" si="25"/>
        <v>1</v>
      </c>
      <c r="AH23" s="159">
        <f t="shared" si="26"/>
        <v>568345</v>
      </c>
    </row>
    <row r="24" spans="1:34" x14ac:dyDescent="0.25">
      <c r="A24" s="46" t="s">
        <v>220</v>
      </c>
      <c r="B24" s="90">
        <v>41395</v>
      </c>
      <c r="C24" s="91">
        <v>0.1</v>
      </c>
      <c r="D24" s="85">
        <f t="shared" si="27"/>
        <v>4139.5</v>
      </c>
      <c r="E24" s="122">
        <v>0.05</v>
      </c>
      <c r="F24" s="123">
        <f t="shared" si="28"/>
        <v>2069.75</v>
      </c>
      <c r="G24" s="122">
        <v>0.15</v>
      </c>
      <c r="H24" s="123">
        <f t="shared" si="29"/>
        <v>6209.25</v>
      </c>
      <c r="I24" s="122">
        <v>0</v>
      </c>
      <c r="J24" s="123">
        <f t="shared" si="30"/>
        <v>0</v>
      </c>
      <c r="K24" s="122">
        <v>0</v>
      </c>
      <c r="L24" s="123">
        <f t="shared" si="31"/>
        <v>0</v>
      </c>
      <c r="M24" s="122">
        <v>0</v>
      </c>
      <c r="N24" s="123">
        <f t="shared" si="32"/>
        <v>0</v>
      </c>
      <c r="O24" s="93">
        <f t="shared" si="18"/>
        <v>8279</v>
      </c>
      <c r="P24" s="86">
        <v>0</v>
      </c>
      <c r="Q24" s="87">
        <f t="shared" si="19"/>
        <v>0</v>
      </c>
      <c r="R24" s="93">
        <f t="shared" si="33"/>
        <v>0</v>
      </c>
      <c r="S24" s="86">
        <v>0</v>
      </c>
      <c r="T24" s="87">
        <f t="shared" si="20"/>
        <v>0</v>
      </c>
      <c r="U24" s="86">
        <v>0.05</v>
      </c>
      <c r="V24" s="87">
        <f t="shared" si="21"/>
        <v>2069.75</v>
      </c>
      <c r="W24" s="93">
        <f t="shared" si="34"/>
        <v>2069.75</v>
      </c>
      <c r="X24" s="88">
        <v>0.15</v>
      </c>
      <c r="Y24" s="89">
        <f t="shared" si="22"/>
        <v>6209.25</v>
      </c>
      <c r="Z24" s="88">
        <v>0.45</v>
      </c>
      <c r="AA24" s="89">
        <f t="shared" si="23"/>
        <v>18627.75</v>
      </c>
      <c r="AB24" s="93">
        <f t="shared" si="35"/>
        <v>24837</v>
      </c>
      <c r="AC24" s="88">
        <v>0.05</v>
      </c>
      <c r="AD24" s="89">
        <f t="shared" si="24"/>
        <v>2069.75</v>
      </c>
      <c r="AE24" s="93">
        <f t="shared" si="36"/>
        <v>2069.75</v>
      </c>
      <c r="AF24" s="81">
        <f t="shared" si="37"/>
        <v>0</v>
      </c>
      <c r="AG24" s="82">
        <f t="shared" si="25"/>
        <v>1</v>
      </c>
      <c r="AH24" s="159">
        <f t="shared" si="26"/>
        <v>12418.5</v>
      </c>
    </row>
    <row r="25" spans="1:34" x14ac:dyDescent="0.25">
      <c r="A25" s="46" t="s">
        <v>68</v>
      </c>
      <c r="B25" s="90"/>
      <c r="C25" s="91">
        <v>0.1</v>
      </c>
      <c r="D25" s="85">
        <f t="shared" si="27"/>
        <v>0</v>
      </c>
      <c r="E25" s="122">
        <v>0.05</v>
      </c>
      <c r="F25" s="123">
        <f t="shared" si="28"/>
        <v>0</v>
      </c>
      <c r="G25" s="122">
        <v>0.15</v>
      </c>
      <c r="H25" s="123">
        <f t="shared" si="29"/>
        <v>0</v>
      </c>
      <c r="I25" s="122">
        <v>0</v>
      </c>
      <c r="J25" s="123">
        <f t="shared" si="30"/>
        <v>0</v>
      </c>
      <c r="K25" s="122">
        <v>0</v>
      </c>
      <c r="L25" s="123">
        <f t="shared" si="31"/>
        <v>0</v>
      </c>
      <c r="M25" s="122">
        <v>0</v>
      </c>
      <c r="N25" s="123">
        <f t="shared" si="32"/>
        <v>0</v>
      </c>
      <c r="O25" s="93">
        <f t="shared" si="18"/>
        <v>0</v>
      </c>
      <c r="P25" s="86">
        <v>0</v>
      </c>
      <c r="Q25" s="87">
        <f t="shared" si="19"/>
        <v>0</v>
      </c>
      <c r="R25" s="93">
        <f t="shared" si="33"/>
        <v>0</v>
      </c>
      <c r="S25" s="86">
        <v>0</v>
      </c>
      <c r="T25" s="87">
        <f t="shared" si="20"/>
        <v>0</v>
      </c>
      <c r="U25" s="86">
        <v>0.05</v>
      </c>
      <c r="V25" s="87">
        <f t="shared" si="21"/>
        <v>0</v>
      </c>
      <c r="W25" s="93">
        <f t="shared" si="34"/>
        <v>0</v>
      </c>
      <c r="X25" s="88">
        <v>0.15</v>
      </c>
      <c r="Y25" s="89">
        <f t="shared" si="22"/>
        <v>0</v>
      </c>
      <c r="Z25" s="88">
        <v>0.45</v>
      </c>
      <c r="AA25" s="89">
        <f t="shared" si="23"/>
        <v>0</v>
      </c>
      <c r="AB25" s="93">
        <f t="shared" si="35"/>
        <v>0</v>
      </c>
      <c r="AC25" s="88">
        <v>0.05</v>
      </c>
      <c r="AD25" s="89">
        <f t="shared" si="24"/>
        <v>0</v>
      </c>
      <c r="AE25" s="93">
        <f t="shared" si="36"/>
        <v>0</v>
      </c>
      <c r="AF25" s="81">
        <f t="shared" si="37"/>
        <v>0</v>
      </c>
      <c r="AG25" s="82">
        <f t="shared" si="25"/>
        <v>1</v>
      </c>
      <c r="AH25" s="159">
        <f t="shared" si="26"/>
        <v>0</v>
      </c>
    </row>
    <row r="26" spans="1:34" x14ac:dyDescent="0.25">
      <c r="A26" s="46" t="s">
        <v>187</v>
      </c>
      <c r="B26" s="90"/>
      <c r="C26" s="91">
        <v>0.1</v>
      </c>
      <c r="D26" s="85">
        <f t="shared" si="27"/>
        <v>0</v>
      </c>
      <c r="E26" s="122">
        <v>0</v>
      </c>
      <c r="F26" s="123">
        <f t="shared" si="28"/>
        <v>0</v>
      </c>
      <c r="G26" s="122">
        <v>0</v>
      </c>
      <c r="H26" s="123">
        <f t="shared" si="29"/>
        <v>0</v>
      </c>
      <c r="I26" s="122">
        <v>0.1</v>
      </c>
      <c r="J26" s="123">
        <f t="shared" si="30"/>
        <v>0</v>
      </c>
      <c r="K26" s="122">
        <v>0</v>
      </c>
      <c r="L26" s="123">
        <f t="shared" si="31"/>
        <v>0</v>
      </c>
      <c r="M26" s="122">
        <v>0</v>
      </c>
      <c r="N26" s="123">
        <f t="shared" si="32"/>
        <v>0</v>
      </c>
      <c r="O26" s="93">
        <f t="shared" si="18"/>
        <v>0</v>
      </c>
      <c r="P26" s="86">
        <v>0</v>
      </c>
      <c r="Q26" s="87">
        <f t="shared" si="19"/>
        <v>0</v>
      </c>
      <c r="R26" s="93">
        <f t="shared" si="33"/>
        <v>0</v>
      </c>
      <c r="S26" s="86">
        <v>0.05</v>
      </c>
      <c r="T26" s="87">
        <f t="shared" si="20"/>
        <v>0</v>
      </c>
      <c r="U26" s="86">
        <v>0.1</v>
      </c>
      <c r="V26" s="87">
        <f t="shared" si="21"/>
        <v>0</v>
      </c>
      <c r="W26" s="93">
        <f t="shared" si="34"/>
        <v>0</v>
      </c>
      <c r="X26" s="88">
        <v>0.05</v>
      </c>
      <c r="Y26" s="89">
        <f t="shared" si="22"/>
        <v>0</v>
      </c>
      <c r="Z26" s="88">
        <v>0.6</v>
      </c>
      <c r="AA26" s="89">
        <f t="shared" si="23"/>
        <v>0</v>
      </c>
      <c r="AB26" s="93">
        <f t="shared" si="35"/>
        <v>0</v>
      </c>
      <c r="AC26" s="88">
        <v>0</v>
      </c>
      <c r="AD26" s="89">
        <f t="shared" si="24"/>
        <v>0</v>
      </c>
      <c r="AE26" s="93">
        <f t="shared" si="36"/>
        <v>0</v>
      </c>
      <c r="AF26" s="81">
        <f t="shared" si="37"/>
        <v>0</v>
      </c>
      <c r="AG26" s="82">
        <f t="shared" si="25"/>
        <v>1</v>
      </c>
      <c r="AH26" s="159">
        <f t="shared" si="26"/>
        <v>0</v>
      </c>
    </row>
    <row r="27" spans="1:34" x14ac:dyDescent="0.25">
      <c r="A27" s="46" t="s">
        <v>188</v>
      </c>
      <c r="B27" s="90">
        <f>187100+223084+206340</f>
        <v>616524</v>
      </c>
      <c r="C27" s="91">
        <v>0.1</v>
      </c>
      <c r="D27" s="85">
        <f t="shared" si="27"/>
        <v>61652.4</v>
      </c>
      <c r="E27" s="122">
        <v>0</v>
      </c>
      <c r="F27" s="123">
        <f t="shared" si="28"/>
        <v>0</v>
      </c>
      <c r="G27" s="122">
        <v>0.1</v>
      </c>
      <c r="H27" s="123">
        <f t="shared" si="29"/>
        <v>61652.4</v>
      </c>
      <c r="I27" s="122">
        <v>0.02</v>
      </c>
      <c r="J27" s="123">
        <f t="shared" si="30"/>
        <v>12330.48</v>
      </c>
      <c r="K27" s="122">
        <v>0</v>
      </c>
      <c r="L27" s="123">
        <f t="shared" si="31"/>
        <v>0</v>
      </c>
      <c r="M27" s="122">
        <v>0</v>
      </c>
      <c r="N27" s="123">
        <f t="shared" si="32"/>
        <v>0</v>
      </c>
      <c r="O27" s="93">
        <f t="shared" si="18"/>
        <v>73982.880000000005</v>
      </c>
      <c r="P27" s="86">
        <v>0</v>
      </c>
      <c r="Q27" s="87">
        <f t="shared" si="19"/>
        <v>0</v>
      </c>
      <c r="R27" s="93">
        <f t="shared" si="33"/>
        <v>0</v>
      </c>
      <c r="S27" s="86">
        <v>0.1</v>
      </c>
      <c r="T27" s="87">
        <f t="shared" si="20"/>
        <v>61652.4</v>
      </c>
      <c r="U27" s="86">
        <v>0.05</v>
      </c>
      <c r="V27" s="87">
        <f t="shared" si="21"/>
        <v>30826.2</v>
      </c>
      <c r="W27" s="93">
        <f t="shared" si="34"/>
        <v>92478.6</v>
      </c>
      <c r="X27" s="88">
        <v>0.02</v>
      </c>
      <c r="Y27" s="89">
        <f t="shared" si="22"/>
        <v>12330.48</v>
      </c>
      <c r="Z27" s="88">
        <v>0.61</v>
      </c>
      <c r="AA27" s="89">
        <f t="shared" si="23"/>
        <v>376079.64</v>
      </c>
      <c r="AB27" s="93">
        <f t="shared" si="35"/>
        <v>388410.12</v>
      </c>
      <c r="AC27" s="88">
        <v>0</v>
      </c>
      <c r="AD27" s="89">
        <f t="shared" si="24"/>
        <v>0</v>
      </c>
      <c r="AE27" s="93">
        <f t="shared" si="36"/>
        <v>0</v>
      </c>
      <c r="AF27" s="81">
        <f t="shared" si="37"/>
        <v>0</v>
      </c>
      <c r="AG27" s="82">
        <f t="shared" si="25"/>
        <v>1</v>
      </c>
      <c r="AH27" s="159">
        <f t="shared" si="26"/>
        <v>166461.48000000001</v>
      </c>
    </row>
    <row r="28" spans="1:34" x14ac:dyDescent="0.25">
      <c r="A28" s="46" t="s">
        <v>263</v>
      </c>
      <c r="B28" s="90"/>
      <c r="C28" s="91">
        <v>0.1</v>
      </c>
      <c r="D28" s="85">
        <f t="shared" si="27"/>
        <v>0</v>
      </c>
      <c r="E28" s="122">
        <v>0</v>
      </c>
      <c r="F28" s="123">
        <f t="shared" si="28"/>
        <v>0</v>
      </c>
      <c r="G28" s="122">
        <v>0.1</v>
      </c>
      <c r="H28" s="123">
        <f t="shared" si="29"/>
        <v>0</v>
      </c>
      <c r="I28" s="122">
        <v>0.02</v>
      </c>
      <c r="J28" s="123">
        <f t="shared" si="30"/>
        <v>0</v>
      </c>
      <c r="K28" s="122">
        <v>0</v>
      </c>
      <c r="L28" s="123">
        <f t="shared" si="31"/>
        <v>0</v>
      </c>
      <c r="M28" s="122">
        <v>0</v>
      </c>
      <c r="N28" s="123">
        <f t="shared" si="32"/>
        <v>0</v>
      </c>
      <c r="O28" s="93">
        <f t="shared" si="18"/>
        <v>0</v>
      </c>
      <c r="P28" s="86">
        <v>0</v>
      </c>
      <c r="Q28" s="87">
        <f t="shared" si="19"/>
        <v>0</v>
      </c>
      <c r="R28" s="93">
        <f t="shared" si="33"/>
        <v>0</v>
      </c>
      <c r="S28" s="86">
        <v>0.1</v>
      </c>
      <c r="T28" s="87">
        <f t="shared" si="20"/>
        <v>0</v>
      </c>
      <c r="U28" s="86">
        <v>0.05</v>
      </c>
      <c r="V28" s="87">
        <f t="shared" si="21"/>
        <v>0</v>
      </c>
      <c r="W28" s="93">
        <f t="shared" si="34"/>
        <v>0</v>
      </c>
      <c r="X28" s="88">
        <v>0.02</v>
      </c>
      <c r="Y28" s="89">
        <f t="shared" si="22"/>
        <v>0</v>
      </c>
      <c r="Z28" s="88">
        <v>0.61</v>
      </c>
      <c r="AA28" s="89">
        <f t="shared" si="23"/>
        <v>0</v>
      </c>
      <c r="AB28" s="93">
        <f t="shared" si="35"/>
        <v>0</v>
      </c>
      <c r="AC28" s="88">
        <v>0</v>
      </c>
      <c r="AD28" s="89">
        <f t="shared" si="24"/>
        <v>0</v>
      </c>
      <c r="AE28" s="93">
        <f t="shared" si="36"/>
        <v>0</v>
      </c>
      <c r="AF28" s="81">
        <f t="shared" si="37"/>
        <v>0</v>
      </c>
      <c r="AG28" s="82">
        <f t="shared" si="25"/>
        <v>1</v>
      </c>
      <c r="AH28" s="159">
        <f t="shared" si="26"/>
        <v>0</v>
      </c>
    </row>
    <row r="29" spans="1:34" x14ac:dyDescent="0.25">
      <c r="A29" s="46" t="s">
        <v>108</v>
      </c>
      <c r="B29" s="90"/>
      <c r="C29" s="91">
        <v>0.1</v>
      </c>
      <c r="D29" s="85">
        <f t="shared" si="27"/>
        <v>0</v>
      </c>
      <c r="E29" s="122">
        <v>0.05</v>
      </c>
      <c r="F29" s="123">
        <f t="shared" si="28"/>
        <v>0</v>
      </c>
      <c r="G29" s="122">
        <v>0.05</v>
      </c>
      <c r="H29" s="123">
        <f t="shared" si="29"/>
        <v>0</v>
      </c>
      <c r="I29" s="122">
        <v>0.01</v>
      </c>
      <c r="J29" s="123">
        <f t="shared" si="30"/>
        <v>0</v>
      </c>
      <c r="K29" s="122">
        <v>0</v>
      </c>
      <c r="L29" s="123">
        <f t="shared" si="31"/>
        <v>0</v>
      </c>
      <c r="M29" s="122">
        <v>0</v>
      </c>
      <c r="N29" s="123">
        <f t="shared" si="32"/>
        <v>0</v>
      </c>
      <c r="O29" s="93">
        <f t="shared" si="18"/>
        <v>0</v>
      </c>
      <c r="P29" s="86">
        <v>0</v>
      </c>
      <c r="Q29" s="87">
        <f t="shared" si="19"/>
        <v>0</v>
      </c>
      <c r="R29" s="93">
        <f t="shared" si="33"/>
        <v>0</v>
      </c>
      <c r="S29" s="86">
        <v>0.02</v>
      </c>
      <c r="T29" s="87">
        <f t="shared" si="20"/>
        <v>0</v>
      </c>
      <c r="U29" s="86">
        <v>0.25</v>
      </c>
      <c r="V29" s="87">
        <f t="shared" si="21"/>
        <v>0</v>
      </c>
      <c r="W29" s="93">
        <f t="shared" si="34"/>
        <v>0</v>
      </c>
      <c r="X29" s="88">
        <v>0.02</v>
      </c>
      <c r="Y29" s="89">
        <f t="shared" si="22"/>
        <v>0</v>
      </c>
      <c r="Z29" s="88">
        <v>0.5</v>
      </c>
      <c r="AA29" s="89">
        <f t="shared" si="23"/>
        <v>0</v>
      </c>
      <c r="AB29" s="93">
        <f t="shared" si="35"/>
        <v>0</v>
      </c>
      <c r="AC29" s="88">
        <v>0</v>
      </c>
      <c r="AD29" s="89">
        <f t="shared" si="24"/>
        <v>0</v>
      </c>
      <c r="AE29" s="93">
        <f t="shared" si="36"/>
        <v>0</v>
      </c>
      <c r="AF29" s="81">
        <f t="shared" si="37"/>
        <v>0</v>
      </c>
      <c r="AG29" s="82">
        <f t="shared" si="25"/>
        <v>1</v>
      </c>
      <c r="AH29" s="159">
        <f t="shared" si="26"/>
        <v>0</v>
      </c>
    </row>
    <row r="30" spans="1:34" x14ac:dyDescent="0.25">
      <c r="A30" s="46" t="s">
        <v>155</v>
      </c>
      <c r="B30" s="90"/>
      <c r="C30" s="91">
        <v>0.1</v>
      </c>
      <c r="D30" s="85">
        <f t="shared" si="27"/>
        <v>0</v>
      </c>
      <c r="E30" s="122">
        <v>0</v>
      </c>
      <c r="F30" s="123">
        <f t="shared" si="28"/>
        <v>0</v>
      </c>
      <c r="G30" s="122">
        <v>0</v>
      </c>
      <c r="H30" s="123">
        <f t="shared" si="29"/>
        <v>0</v>
      </c>
      <c r="I30" s="122">
        <v>0</v>
      </c>
      <c r="J30" s="123">
        <f t="shared" si="30"/>
        <v>0</v>
      </c>
      <c r="K30" s="122">
        <v>0</v>
      </c>
      <c r="L30" s="123">
        <f t="shared" si="31"/>
        <v>0</v>
      </c>
      <c r="M30" s="122">
        <v>0</v>
      </c>
      <c r="N30" s="123">
        <f t="shared" si="32"/>
        <v>0</v>
      </c>
      <c r="O30" s="93">
        <f t="shared" si="18"/>
        <v>0</v>
      </c>
      <c r="P30" s="86">
        <v>0.1</v>
      </c>
      <c r="Q30" s="87">
        <f t="shared" si="19"/>
        <v>0</v>
      </c>
      <c r="R30" s="93">
        <f t="shared" si="33"/>
        <v>0</v>
      </c>
      <c r="S30" s="86">
        <v>0.1</v>
      </c>
      <c r="T30" s="87">
        <f t="shared" si="20"/>
        <v>0</v>
      </c>
      <c r="U30" s="86">
        <v>0.28000000000000003</v>
      </c>
      <c r="V30" s="87">
        <f t="shared" si="21"/>
        <v>0</v>
      </c>
      <c r="W30" s="93">
        <f t="shared" si="34"/>
        <v>0</v>
      </c>
      <c r="X30" s="88">
        <v>0.02</v>
      </c>
      <c r="Y30" s="89">
        <f t="shared" si="22"/>
        <v>0</v>
      </c>
      <c r="Z30" s="88">
        <v>0.4</v>
      </c>
      <c r="AA30" s="89">
        <f t="shared" si="23"/>
        <v>0</v>
      </c>
      <c r="AB30" s="93">
        <f t="shared" si="35"/>
        <v>0</v>
      </c>
      <c r="AC30" s="88">
        <v>0</v>
      </c>
      <c r="AD30" s="89">
        <f t="shared" si="24"/>
        <v>0</v>
      </c>
      <c r="AE30" s="93">
        <f t="shared" si="36"/>
        <v>0</v>
      </c>
      <c r="AF30" s="81">
        <f t="shared" si="37"/>
        <v>0</v>
      </c>
      <c r="AG30" s="82">
        <f t="shared" si="25"/>
        <v>1</v>
      </c>
      <c r="AH30" s="159">
        <f t="shared" si="26"/>
        <v>0</v>
      </c>
    </row>
    <row r="31" spans="1:34" x14ac:dyDescent="0.25">
      <c r="A31" s="46" t="s">
        <v>115</v>
      </c>
      <c r="B31" s="90"/>
      <c r="C31" s="91">
        <v>0.1</v>
      </c>
      <c r="D31" s="85">
        <f t="shared" si="27"/>
        <v>0</v>
      </c>
      <c r="E31" s="122">
        <v>0</v>
      </c>
      <c r="F31" s="123">
        <f t="shared" si="28"/>
        <v>0</v>
      </c>
      <c r="G31" s="122">
        <v>0</v>
      </c>
      <c r="H31" s="123">
        <f t="shared" si="29"/>
        <v>0</v>
      </c>
      <c r="I31" s="122">
        <v>0</v>
      </c>
      <c r="J31" s="123">
        <f t="shared" si="30"/>
        <v>0</v>
      </c>
      <c r="K31" s="122">
        <v>0</v>
      </c>
      <c r="L31" s="123">
        <f t="shared" si="31"/>
        <v>0</v>
      </c>
      <c r="M31" s="122">
        <v>0</v>
      </c>
      <c r="N31" s="123">
        <f t="shared" si="32"/>
        <v>0</v>
      </c>
      <c r="O31" s="93">
        <f t="shared" si="18"/>
        <v>0</v>
      </c>
      <c r="P31" s="86">
        <v>0.01</v>
      </c>
      <c r="Q31" s="87">
        <f t="shared" si="19"/>
        <v>0</v>
      </c>
      <c r="R31" s="93">
        <f t="shared" si="33"/>
        <v>0</v>
      </c>
      <c r="S31" s="86">
        <v>0.1</v>
      </c>
      <c r="T31" s="87">
        <f t="shared" si="20"/>
        <v>0</v>
      </c>
      <c r="U31" s="86">
        <v>0.2</v>
      </c>
      <c r="V31" s="87">
        <f t="shared" si="21"/>
        <v>0</v>
      </c>
      <c r="W31" s="93">
        <f t="shared" si="34"/>
        <v>0</v>
      </c>
      <c r="X31" s="88">
        <v>0.05</v>
      </c>
      <c r="Y31" s="89">
        <f t="shared" si="22"/>
        <v>0</v>
      </c>
      <c r="Z31" s="88">
        <v>0.5</v>
      </c>
      <c r="AA31" s="89">
        <f t="shared" si="23"/>
        <v>0</v>
      </c>
      <c r="AB31" s="93">
        <f t="shared" si="35"/>
        <v>0</v>
      </c>
      <c r="AC31" s="88">
        <v>0.04</v>
      </c>
      <c r="AD31" s="89">
        <f t="shared" si="24"/>
        <v>0</v>
      </c>
      <c r="AE31" s="93">
        <f t="shared" si="36"/>
        <v>0</v>
      </c>
      <c r="AF31" s="81">
        <f t="shared" si="37"/>
        <v>0</v>
      </c>
      <c r="AG31" s="82">
        <f t="shared" si="25"/>
        <v>1</v>
      </c>
      <c r="AH31" s="159">
        <f t="shared" si="26"/>
        <v>0</v>
      </c>
    </row>
    <row r="32" spans="1:34" x14ac:dyDescent="0.25">
      <c r="A32" s="46" t="s">
        <v>72</v>
      </c>
      <c r="B32" s="90"/>
      <c r="C32" s="91">
        <v>0.1</v>
      </c>
      <c r="D32" s="85">
        <f t="shared" si="27"/>
        <v>0</v>
      </c>
      <c r="E32" s="122">
        <v>0</v>
      </c>
      <c r="F32" s="123">
        <f t="shared" si="28"/>
        <v>0</v>
      </c>
      <c r="G32" s="122">
        <v>0</v>
      </c>
      <c r="H32" s="123">
        <f t="shared" si="29"/>
        <v>0</v>
      </c>
      <c r="I32" s="122">
        <v>0</v>
      </c>
      <c r="J32" s="123">
        <f t="shared" si="30"/>
        <v>0</v>
      </c>
      <c r="K32" s="122">
        <v>0</v>
      </c>
      <c r="L32" s="123">
        <f t="shared" si="31"/>
        <v>0</v>
      </c>
      <c r="M32" s="122">
        <v>0</v>
      </c>
      <c r="N32" s="123">
        <f t="shared" si="32"/>
        <v>0</v>
      </c>
      <c r="O32" s="93">
        <f t="shared" si="18"/>
        <v>0</v>
      </c>
      <c r="P32" s="86">
        <v>0.01</v>
      </c>
      <c r="Q32" s="87">
        <f t="shared" si="19"/>
        <v>0</v>
      </c>
      <c r="R32" s="93">
        <f t="shared" si="33"/>
        <v>0</v>
      </c>
      <c r="S32" s="86">
        <v>0.1</v>
      </c>
      <c r="T32" s="87">
        <f t="shared" si="20"/>
        <v>0</v>
      </c>
      <c r="U32" s="86">
        <v>0.2</v>
      </c>
      <c r="V32" s="87">
        <f t="shared" si="21"/>
        <v>0</v>
      </c>
      <c r="W32" s="93">
        <f t="shared" si="34"/>
        <v>0</v>
      </c>
      <c r="X32" s="88">
        <v>0.05</v>
      </c>
      <c r="Y32" s="89">
        <f t="shared" si="22"/>
        <v>0</v>
      </c>
      <c r="Z32" s="88">
        <v>0.3</v>
      </c>
      <c r="AA32" s="89">
        <f t="shared" si="23"/>
        <v>0</v>
      </c>
      <c r="AB32" s="93">
        <f t="shared" si="35"/>
        <v>0</v>
      </c>
      <c r="AC32" s="88">
        <v>0.24</v>
      </c>
      <c r="AD32" s="89">
        <f t="shared" si="24"/>
        <v>0</v>
      </c>
      <c r="AE32" s="93">
        <f t="shared" si="36"/>
        <v>0</v>
      </c>
      <c r="AF32" s="81">
        <f t="shared" si="37"/>
        <v>0</v>
      </c>
      <c r="AG32" s="82">
        <f t="shared" si="25"/>
        <v>1</v>
      </c>
      <c r="AH32" s="159">
        <f t="shared" si="26"/>
        <v>0</v>
      </c>
    </row>
    <row r="33" spans="1:34" x14ac:dyDescent="0.25">
      <c r="A33" s="46" t="s">
        <v>52</v>
      </c>
      <c r="B33" s="90"/>
      <c r="C33" s="91">
        <v>0.1</v>
      </c>
      <c r="D33" s="85">
        <f t="shared" si="27"/>
        <v>0</v>
      </c>
      <c r="E33" s="122">
        <v>0</v>
      </c>
      <c r="F33" s="123">
        <f t="shared" si="28"/>
        <v>0</v>
      </c>
      <c r="G33" s="122">
        <v>0</v>
      </c>
      <c r="H33" s="123">
        <f t="shared" si="29"/>
        <v>0</v>
      </c>
      <c r="I33" s="122">
        <v>0</v>
      </c>
      <c r="J33" s="123">
        <f t="shared" si="30"/>
        <v>0</v>
      </c>
      <c r="K33" s="122">
        <v>0</v>
      </c>
      <c r="L33" s="123">
        <f t="shared" si="31"/>
        <v>0</v>
      </c>
      <c r="M33" s="122">
        <v>0</v>
      </c>
      <c r="N33" s="123">
        <f t="shared" si="32"/>
        <v>0</v>
      </c>
      <c r="O33" s="93">
        <f t="shared" si="18"/>
        <v>0</v>
      </c>
      <c r="P33" s="86">
        <v>0.01</v>
      </c>
      <c r="Q33" s="87">
        <f t="shared" si="19"/>
        <v>0</v>
      </c>
      <c r="R33" s="93">
        <f t="shared" si="33"/>
        <v>0</v>
      </c>
      <c r="S33" s="86">
        <v>0.1</v>
      </c>
      <c r="T33" s="87">
        <f t="shared" si="20"/>
        <v>0</v>
      </c>
      <c r="U33" s="86">
        <v>0.2</v>
      </c>
      <c r="V33" s="87">
        <f t="shared" si="21"/>
        <v>0</v>
      </c>
      <c r="W33" s="93">
        <f t="shared" si="34"/>
        <v>0</v>
      </c>
      <c r="X33" s="88">
        <v>0.05</v>
      </c>
      <c r="Y33" s="89">
        <f t="shared" si="22"/>
        <v>0</v>
      </c>
      <c r="Z33" s="88">
        <v>0.54</v>
      </c>
      <c r="AA33" s="89">
        <f t="shared" si="23"/>
        <v>0</v>
      </c>
      <c r="AB33" s="93">
        <f t="shared" si="35"/>
        <v>0</v>
      </c>
      <c r="AC33" s="88">
        <v>0</v>
      </c>
      <c r="AD33" s="89">
        <f t="shared" si="24"/>
        <v>0</v>
      </c>
      <c r="AE33" s="93">
        <f t="shared" si="36"/>
        <v>0</v>
      </c>
      <c r="AF33" s="81">
        <f t="shared" si="37"/>
        <v>0</v>
      </c>
      <c r="AG33" s="82">
        <f t="shared" si="25"/>
        <v>1</v>
      </c>
      <c r="AH33" s="159">
        <f t="shared" si="26"/>
        <v>0</v>
      </c>
    </row>
    <row r="34" spans="1:34" x14ac:dyDescent="0.25">
      <c r="A34" s="46" t="s">
        <v>189</v>
      </c>
      <c r="B34" s="90"/>
      <c r="C34" s="91">
        <v>0.1</v>
      </c>
      <c r="D34" s="85">
        <f t="shared" si="27"/>
        <v>0</v>
      </c>
      <c r="E34" s="122">
        <v>0</v>
      </c>
      <c r="F34" s="123">
        <f t="shared" si="28"/>
        <v>0</v>
      </c>
      <c r="G34" s="122">
        <v>0</v>
      </c>
      <c r="H34" s="123">
        <f t="shared" si="29"/>
        <v>0</v>
      </c>
      <c r="I34" s="122">
        <v>0</v>
      </c>
      <c r="J34" s="123">
        <f t="shared" si="30"/>
        <v>0</v>
      </c>
      <c r="K34" s="122">
        <v>0</v>
      </c>
      <c r="L34" s="123">
        <f t="shared" si="31"/>
        <v>0</v>
      </c>
      <c r="M34" s="122">
        <v>0</v>
      </c>
      <c r="N34" s="123">
        <f t="shared" si="32"/>
        <v>0</v>
      </c>
      <c r="O34" s="93">
        <f t="shared" si="18"/>
        <v>0</v>
      </c>
      <c r="P34" s="86">
        <v>0.01</v>
      </c>
      <c r="Q34" s="87">
        <f t="shared" si="19"/>
        <v>0</v>
      </c>
      <c r="R34" s="93">
        <f t="shared" si="33"/>
        <v>0</v>
      </c>
      <c r="S34" s="86">
        <v>0.1</v>
      </c>
      <c r="T34" s="87">
        <f t="shared" si="20"/>
        <v>0</v>
      </c>
      <c r="U34" s="86">
        <v>0.2</v>
      </c>
      <c r="V34" s="87">
        <f t="shared" si="21"/>
        <v>0</v>
      </c>
      <c r="W34" s="93">
        <f t="shared" si="34"/>
        <v>0</v>
      </c>
      <c r="X34" s="88">
        <v>0.05</v>
      </c>
      <c r="Y34" s="89">
        <f t="shared" si="22"/>
        <v>0</v>
      </c>
      <c r="Z34" s="88">
        <v>0.54</v>
      </c>
      <c r="AA34" s="89">
        <f t="shared" si="23"/>
        <v>0</v>
      </c>
      <c r="AB34" s="93">
        <f t="shared" si="35"/>
        <v>0</v>
      </c>
      <c r="AC34" s="88">
        <v>0</v>
      </c>
      <c r="AD34" s="89">
        <f t="shared" si="24"/>
        <v>0</v>
      </c>
      <c r="AE34" s="93">
        <f t="shared" si="36"/>
        <v>0</v>
      </c>
      <c r="AF34" s="81">
        <f t="shared" si="37"/>
        <v>0</v>
      </c>
      <c r="AG34" s="82">
        <f t="shared" si="25"/>
        <v>1</v>
      </c>
      <c r="AH34" s="159">
        <f t="shared" si="26"/>
        <v>0</v>
      </c>
    </row>
    <row r="35" spans="1:34" x14ac:dyDescent="0.25">
      <c r="A35" s="46" t="s">
        <v>190</v>
      </c>
      <c r="B35" s="90"/>
      <c r="C35" s="91">
        <v>0.1</v>
      </c>
      <c r="D35" s="85">
        <f t="shared" si="27"/>
        <v>0</v>
      </c>
      <c r="E35" s="122">
        <v>0</v>
      </c>
      <c r="F35" s="123">
        <f t="shared" si="28"/>
        <v>0</v>
      </c>
      <c r="G35" s="122">
        <v>0</v>
      </c>
      <c r="H35" s="123">
        <f t="shared" si="29"/>
        <v>0</v>
      </c>
      <c r="I35" s="122">
        <v>0</v>
      </c>
      <c r="J35" s="123">
        <f t="shared" si="30"/>
        <v>0</v>
      </c>
      <c r="K35" s="122">
        <v>0</v>
      </c>
      <c r="L35" s="123">
        <f t="shared" si="31"/>
        <v>0</v>
      </c>
      <c r="M35" s="122">
        <v>0</v>
      </c>
      <c r="N35" s="123">
        <f t="shared" si="32"/>
        <v>0</v>
      </c>
      <c r="O35" s="93">
        <f t="shared" si="18"/>
        <v>0</v>
      </c>
      <c r="P35" s="86">
        <v>0.01</v>
      </c>
      <c r="Q35" s="87">
        <f t="shared" si="19"/>
        <v>0</v>
      </c>
      <c r="R35" s="93">
        <f t="shared" si="33"/>
        <v>0</v>
      </c>
      <c r="S35" s="86">
        <v>0.1</v>
      </c>
      <c r="T35" s="87">
        <f t="shared" si="20"/>
        <v>0</v>
      </c>
      <c r="U35" s="86">
        <v>0.2</v>
      </c>
      <c r="V35" s="87">
        <f t="shared" si="21"/>
        <v>0</v>
      </c>
      <c r="W35" s="93">
        <f t="shared" si="34"/>
        <v>0</v>
      </c>
      <c r="X35" s="88">
        <v>0.05</v>
      </c>
      <c r="Y35" s="89">
        <f t="shared" si="22"/>
        <v>0</v>
      </c>
      <c r="Z35" s="88">
        <v>0.54</v>
      </c>
      <c r="AA35" s="89">
        <f t="shared" si="23"/>
        <v>0</v>
      </c>
      <c r="AB35" s="93">
        <f t="shared" si="35"/>
        <v>0</v>
      </c>
      <c r="AC35" s="88">
        <v>0</v>
      </c>
      <c r="AD35" s="89">
        <f t="shared" si="24"/>
        <v>0</v>
      </c>
      <c r="AE35" s="93">
        <f t="shared" si="36"/>
        <v>0</v>
      </c>
      <c r="AF35" s="81">
        <f t="shared" si="37"/>
        <v>0</v>
      </c>
      <c r="AG35" s="82">
        <f t="shared" si="25"/>
        <v>1</v>
      </c>
      <c r="AH35" s="159">
        <f t="shared" si="26"/>
        <v>0</v>
      </c>
    </row>
    <row r="36" spans="1:34" x14ac:dyDescent="0.25">
      <c r="A36" s="46" t="s">
        <v>6</v>
      </c>
      <c r="B36" s="90"/>
      <c r="C36" s="91">
        <v>0.1</v>
      </c>
      <c r="D36" s="85">
        <f t="shared" si="27"/>
        <v>0</v>
      </c>
      <c r="E36" s="122">
        <v>0</v>
      </c>
      <c r="F36" s="123">
        <f t="shared" si="28"/>
        <v>0</v>
      </c>
      <c r="G36" s="122">
        <v>0</v>
      </c>
      <c r="H36" s="123">
        <f t="shared" si="29"/>
        <v>0</v>
      </c>
      <c r="I36" s="122">
        <v>0</v>
      </c>
      <c r="J36" s="123">
        <f t="shared" si="30"/>
        <v>0</v>
      </c>
      <c r="K36" s="122">
        <v>0</v>
      </c>
      <c r="L36" s="123">
        <f t="shared" si="31"/>
        <v>0</v>
      </c>
      <c r="M36" s="122">
        <v>0</v>
      </c>
      <c r="N36" s="123">
        <f t="shared" si="32"/>
        <v>0</v>
      </c>
      <c r="O36" s="93">
        <f t="shared" si="18"/>
        <v>0</v>
      </c>
      <c r="P36" s="86">
        <v>0</v>
      </c>
      <c r="Q36" s="87">
        <f t="shared" si="19"/>
        <v>0</v>
      </c>
      <c r="R36" s="93">
        <f t="shared" si="33"/>
        <v>0</v>
      </c>
      <c r="S36" s="86">
        <v>0</v>
      </c>
      <c r="T36" s="87">
        <f t="shared" si="20"/>
        <v>0</v>
      </c>
      <c r="U36" s="86">
        <v>0</v>
      </c>
      <c r="V36" s="87">
        <f t="shared" si="21"/>
        <v>0</v>
      </c>
      <c r="W36" s="93">
        <f t="shared" si="34"/>
        <v>0</v>
      </c>
      <c r="X36" s="88">
        <v>0</v>
      </c>
      <c r="Y36" s="89">
        <f t="shared" si="22"/>
        <v>0</v>
      </c>
      <c r="Z36" s="88">
        <v>0.2</v>
      </c>
      <c r="AA36" s="89">
        <f t="shared" si="23"/>
        <v>0</v>
      </c>
      <c r="AB36" s="93">
        <f t="shared" si="35"/>
        <v>0</v>
      </c>
      <c r="AC36" s="88">
        <v>0.7</v>
      </c>
      <c r="AD36" s="89">
        <f t="shared" si="24"/>
        <v>0</v>
      </c>
      <c r="AE36" s="93">
        <f t="shared" si="36"/>
        <v>0</v>
      </c>
      <c r="AF36" s="81">
        <f t="shared" si="37"/>
        <v>0</v>
      </c>
      <c r="AG36" s="82">
        <f t="shared" si="25"/>
        <v>1</v>
      </c>
      <c r="AH36" s="159">
        <f t="shared" si="26"/>
        <v>0</v>
      </c>
    </row>
    <row r="37" spans="1:34" x14ac:dyDescent="0.25">
      <c r="A37" s="46" t="s">
        <v>321</v>
      </c>
      <c r="B37" s="90"/>
      <c r="C37" s="91">
        <v>0</v>
      </c>
      <c r="D37" s="85">
        <f t="shared" si="27"/>
        <v>0</v>
      </c>
      <c r="E37" s="122">
        <v>0</v>
      </c>
      <c r="F37" s="123">
        <f t="shared" si="28"/>
        <v>0</v>
      </c>
      <c r="G37" s="122">
        <v>0</v>
      </c>
      <c r="H37" s="123">
        <f t="shared" si="29"/>
        <v>0</v>
      </c>
      <c r="I37" s="122">
        <v>0</v>
      </c>
      <c r="J37" s="123">
        <f t="shared" si="30"/>
        <v>0</v>
      </c>
      <c r="K37" s="122">
        <v>0</v>
      </c>
      <c r="L37" s="123">
        <f t="shared" si="31"/>
        <v>0</v>
      </c>
      <c r="M37" s="122">
        <v>0</v>
      </c>
      <c r="N37" s="123">
        <f t="shared" si="32"/>
        <v>0</v>
      </c>
      <c r="O37" s="93">
        <f t="shared" si="18"/>
        <v>0</v>
      </c>
      <c r="P37" s="86">
        <v>0</v>
      </c>
      <c r="Q37" s="87">
        <f t="shared" si="19"/>
        <v>0</v>
      </c>
      <c r="R37" s="93">
        <f t="shared" si="33"/>
        <v>0</v>
      </c>
      <c r="S37" s="86">
        <v>0</v>
      </c>
      <c r="T37" s="87">
        <f t="shared" si="20"/>
        <v>0</v>
      </c>
      <c r="U37" s="86">
        <v>0</v>
      </c>
      <c r="V37" s="87">
        <f t="shared" si="21"/>
        <v>0</v>
      </c>
      <c r="W37" s="93">
        <f t="shared" si="34"/>
        <v>0</v>
      </c>
      <c r="X37" s="88">
        <v>0</v>
      </c>
      <c r="Y37" s="89">
        <f t="shared" si="22"/>
        <v>0</v>
      </c>
      <c r="Z37" s="88">
        <v>0</v>
      </c>
      <c r="AA37" s="89">
        <f t="shared" si="23"/>
        <v>0</v>
      </c>
      <c r="AB37" s="93">
        <f t="shared" si="35"/>
        <v>0</v>
      </c>
      <c r="AC37" s="88">
        <v>1</v>
      </c>
      <c r="AD37" s="89">
        <f t="shared" si="24"/>
        <v>0</v>
      </c>
      <c r="AE37" s="93">
        <f t="shared" si="36"/>
        <v>0</v>
      </c>
      <c r="AF37" s="81">
        <f t="shared" si="37"/>
        <v>0</v>
      </c>
      <c r="AG37" s="82">
        <f t="shared" si="25"/>
        <v>1</v>
      </c>
      <c r="AH37" s="159">
        <f t="shared" si="26"/>
        <v>0</v>
      </c>
    </row>
    <row r="38" spans="1:34" x14ac:dyDescent="0.25">
      <c r="A38" s="46" t="s">
        <v>191</v>
      </c>
      <c r="B38" s="90">
        <v>386173</v>
      </c>
      <c r="C38" s="91">
        <v>0.1</v>
      </c>
      <c r="D38" s="85">
        <f t="shared" si="27"/>
        <v>38617.300000000003</v>
      </c>
      <c r="E38" s="122">
        <v>0</v>
      </c>
      <c r="F38" s="123">
        <f t="shared" si="28"/>
        <v>0</v>
      </c>
      <c r="G38" s="122">
        <v>0</v>
      </c>
      <c r="H38" s="123">
        <f t="shared" si="29"/>
        <v>0</v>
      </c>
      <c r="I38" s="122">
        <v>0</v>
      </c>
      <c r="J38" s="123">
        <f t="shared" si="30"/>
        <v>0</v>
      </c>
      <c r="K38" s="122">
        <v>0</v>
      </c>
      <c r="L38" s="123">
        <f t="shared" si="31"/>
        <v>0</v>
      </c>
      <c r="M38" s="122">
        <v>0</v>
      </c>
      <c r="N38" s="123">
        <f t="shared" si="32"/>
        <v>0</v>
      </c>
      <c r="O38" s="93">
        <f t="shared" si="18"/>
        <v>0</v>
      </c>
      <c r="P38" s="86">
        <v>0.01</v>
      </c>
      <c r="Q38" s="87">
        <f t="shared" si="19"/>
        <v>3861.73</v>
      </c>
      <c r="R38" s="93">
        <f t="shared" si="33"/>
        <v>3861.73</v>
      </c>
      <c r="S38" s="86">
        <v>0.05</v>
      </c>
      <c r="T38" s="87">
        <f t="shared" si="20"/>
        <v>19308.650000000001</v>
      </c>
      <c r="U38" s="86">
        <v>0.1</v>
      </c>
      <c r="V38" s="87">
        <f t="shared" si="21"/>
        <v>38617.300000000003</v>
      </c>
      <c r="W38" s="93">
        <f t="shared" si="34"/>
        <v>57925.950000000004</v>
      </c>
      <c r="X38" s="88">
        <v>0.02</v>
      </c>
      <c r="Y38" s="89">
        <f t="shared" si="22"/>
        <v>7723.46</v>
      </c>
      <c r="Z38" s="88">
        <v>0.4</v>
      </c>
      <c r="AA38" s="89">
        <f t="shared" si="23"/>
        <v>154469.20000000001</v>
      </c>
      <c r="AB38" s="93">
        <f t="shared" si="35"/>
        <v>162192.66</v>
      </c>
      <c r="AC38" s="88">
        <v>0.32</v>
      </c>
      <c r="AD38" s="89">
        <f t="shared" si="24"/>
        <v>123575.36</v>
      </c>
      <c r="AE38" s="93">
        <f t="shared" si="36"/>
        <v>123575.36</v>
      </c>
      <c r="AF38" s="81">
        <f t="shared" si="37"/>
        <v>0</v>
      </c>
      <c r="AG38" s="82">
        <f t="shared" si="25"/>
        <v>1</v>
      </c>
      <c r="AH38" s="159">
        <f t="shared" si="26"/>
        <v>181501.31</v>
      </c>
    </row>
    <row r="39" spans="1:34" x14ac:dyDescent="0.25">
      <c r="A39" s="46" t="s">
        <v>269</v>
      </c>
      <c r="B39" s="90">
        <v>258215</v>
      </c>
      <c r="C39" s="91">
        <v>0</v>
      </c>
      <c r="D39" s="85">
        <f t="shared" si="27"/>
        <v>0</v>
      </c>
      <c r="E39" s="122">
        <v>0</v>
      </c>
      <c r="F39" s="123">
        <f t="shared" si="28"/>
        <v>0</v>
      </c>
      <c r="G39" s="122">
        <v>0</v>
      </c>
      <c r="H39" s="123">
        <f t="shared" si="29"/>
        <v>0</v>
      </c>
      <c r="I39" s="122">
        <v>0</v>
      </c>
      <c r="J39" s="123">
        <f t="shared" si="30"/>
        <v>0</v>
      </c>
      <c r="K39" s="122">
        <v>0</v>
      </c>
      <c r="L39" s="123">
        <f t="shared" si="31"/>
        <v>0</v>
      </c>
      <c r="M39" s="122">
        <v>0</v>
      </c>
      <c r="N39" s="123">
        <f t="shared" si="32"/>
        <v>0</v>
      </c>
      <c r="O39" s="93">
        <f t="shared" si="18"/>
        <v>0</v>
      </c>
      <c r="P39" s="86">
        <v>0</v>
      </c>
      <c r="Q39" s="87">
        <f t="shared" si="19"/>
        <v>0</v>
      </c>
      <c r="R39" s="93">
        <f t="shared" si="33"/>
        <v>0</v>
      </c>
      <c r="S39" s="86">
        <v>0</v>
      </c>
      <c r="T39" s="87">
        <f t="shared" si="20"/>
        <v>0</v>
      </c>
      <c r="U39" s="86">
        <v>1</v>
      </c>
      <c r="V39" s="87">
        <f t="shared" si="21"/>
        <v>258215</v>
      </c>
      <c r="W39" s="93">
        <f t="shared" si="34"/>
        <v>258215</v>
      </c>
      <c r="X39" s="88">
        <v>0</v>
      </c>
      <c r="Y39" s="89">
        <f t="shared" si="22"/>
        <v>0</v>
      </c>
      <c r="Z39" s="88">
        <v>0</v>
      </c>
      <c r="AA39" s="89">
        <f t="shared" si="23"/>
        <v>0</v>
      </c>
      <c r="AB39" s="93">
        <f t="shared" si="35"/>
        <v>0</v>
      </c>
      <c r="AC39" s="88">
        <v>0</v>
      </c>
      <c r="AD39" s="89">
        <f t="shared" si="24"/>
        <v>0</v>
      </c>
      <c r="AE39" s="93">
        <f t="shared" si="36"/>
        <v>0</v>
      </c>
      <c r="AF39" s="81">
        <f t="shared" si="37"/>
        <v>0</v>
      </c>
      <c r="AG39" s="82">
        <f t="shared" si="25"/>
        <v>1</v>
      </c>
      <c r="AH39" s="159">
        <f t="shared" si="26"/>
        <v>258215</v>
      </c>
    </row>
    <row r="40" spans="1:34" x14ac:dyDescent="0.25">
      <c r="A40" s="46" t="s">
        <v>192</v>
      </c>
      <c r="B40" s="90"/>
      <c r="C40" s="91">
        <v>0.1</v>
      </c>
      <c r="D40" s="85">
        <f t="shared" si="27"/>
        <v>0</v>
      </c>
      <c r="E40" s="122">
        <v>0</v>
      </c>
      <c r="F40" s="123">
        <f t="shared" si="28"/>
        <v>0</v>
      </c>
      <c r="G40" s="122">
        <v>0</v>
      </c>
      <c r="H40" s="123">
        <f t="shared" si="29"/>
        <v>0</v>
      </c>
      <c r="I40" s="122">
        <v>0</v>
      </c>
      <c r="J40" s="123">
        <f t="shared" si="30"/>
        <v>0</v>
      </c>
      <c r="K40" s="122">
        <v>0</v>
      </c>
      <c r="L40" s="123">
        <f t="shared" si="31"/>
        <v>0</v>
      </c>
      <c r="M40" s="122">
        <v>0</v>
      </c>
      <c r="N40" s="123">
        <f t="shared" si="32"/>
        <v>0</v>
      </c>
      <c r="O40" s="93">
        <f t="shared" si="18"/>
        <v>0</v>
      </c>
      <c r="P40" s="86">
        <v>0.01</v>
      </c>
      <c r="Q40" s="87">
        <f t="shared" si="19"/>
        <v>0</v>
      </c>
      <c r="R40" s="93">
        <f t="shared" si="33"/>
        <v>0</v>
      </c>
      <c r="S40" s="86">
        <v>0.1</v>
      </c>
      <c r="T40" s="87">
        <f t="shared" si="20"/>
        <v>0</v>
      </c>
      <c r="U40" s="86">
        <v>0.1</v>
      </c>
      <c r="V40" s="87">
        <f t="shared" si="21"/>
        <v>0</v>
      </c>
      <c r="W40" s="93">
        <f t="shared" si="34"/>
        <v>0</v>
      </c>
      <c r="X40" s="88">
        <v>0.1</v>
      </c>
      <c r="Y40" s="89">
        <f t="shared" si="22"/>
        <v>0</v>
      </c>
      <c r="Z40" s="88">
        <v>0.59</v>
      </c>
      <c r="AA40" s="89">
        <f t="shared" si="23"/>
        <v>0</v>
      </c>
      <c r="AB40" s="93">
        <f t="shared" si="35"/>
        <v>0</v>
      </c>
      <c r="AC40" s="88">
        <v>0</v>
      </c>
      <c r="AD40" s="89">
        <f t="shared" si="24"/>
        <v>0</v>
      </c>
      <c r="AE40" s="93">
        <f t="shared" si="36"/>
        <v>0</v>
      </c>
      <c r="AF40" s="81">
        <f t="shared" si="37"/>
        <v>0</v>
      </c>
      <c r="AG40" s="82">
        <f t="shared" si="25"/>
        <v>1</v>
      </c>
      <c r="AH40" s="159">
        <f t="shared" si="26"/>
        <v>0</v>
      </c>
    </row>
    <row r="41" spans="1:34" x14ac:dyDescent="0.25">
      <c r="A41" s="46" t="s">
        <v>247</v>
      </c>
      <c r="B41" s="90">
        <f>29049+19800</f>
        <v>48849</v>
      </c>
      <c r="C41" s="91">
        <v>0.1</v>
      </c>
      <c r="D41" s="85">
        <f t="shared" si="27"/>
        <v>4884.9000000000005</v>
      </c>
      <c r="E41" s="122">
        <v>0</v>
      </c>
      <c r="F41" s="123">
        <f t="shared" si="28"/>
        <v>0</v>
      </c>
      <c r="G41" s="122">
        <v>0</v>
      </c>
      <c r="H41" s="123">
        <f t="shared" si="29"/>
        <v>0</v>
      </c>
      <c r="I41" s="122">
        <v>0</v>
      </c>
      <c r="J41" s="123">
        <f t="shared" si="30"/>
        <v>0</v>
      </c>
      <c r="K41" s="122">
        <v>0</v>
      </c>
      <c r="L41" s="123">
        <f t="shared" si="31"/>
        <v>0</v>
      </c>
      <c r="M41" s="122">
        <v>0</v>
      </c>
      <c r="N41" s="123">
        <f t="shared" si="32"/>
        <v>0</v>
      </c>
      <c r="O41" s="93">
        <f t="shared" si="18"/>
        <v>0</v>
      </c>
      <c r="P41" s="86">
        <v>0.01</v>
      </c>
      <c r="Q41" s="87">
        <f t="shared" si="19"/>
        <v>488.49</v>
      </c>
      <c r="R41" s="93">
        <f t="shared" si="33"/>
        <v>488.49</v>
      </c>
      <c r="S41" s="86">
        <v>0.1</v>
      </c>
      <c r="T41" s="87">
        <f t="shared" si="20"/>
        <v>4884.9000000000005</v>
      </c>
      <c r="U41" s="86">
        <v>0.1</v>
      </c>
      <c r="V41" s="87">
        <f t="shared" si="21"/>
        <v>4884.9000000000005</v>
      </c>
      <c r="W41" s="93">
        <f t="shared" si="34"/>
        <v>9769.8000000000011</v>
      </c>
      <c r="X41" s="88">
        <v>0.1</v>
      </c>
      <c r="Y41" s="89">
        <f t="shared" si="22"/>
        <v>4884.9000000000005</v>
      </c>
      <c r="Z41" s="88">
        <v>0.59</v>
      </c>
      <c r="AA41" s="89">
        <f t="shared" si="23"/>
        <v>28820.91</v>
      </c>
      <c r="AB41" s="93">
        <f t="shared" si="35"/>
        <v>33705.81</v>
      </c>
      <c r="AC41" s="88">
        <v>0</v>
      </c>
      <c r="AD41" s="89">
        <f t="shared" si="24"/>
        <v>0</v>
      </c>
      <c r="AE41" s="93">
        <f t="shared" si="36"/>
        <v>0</v>
      </c>
      <c r="AF41" s="81">
        <f t="shared" si="37"/>
        <v>0</v>
      </c>
      <c r="AG41" s="82">
        <f t="shared" si="25"/>
        <v>1</v>
      </c>
      <c r="AH41" s="159">
        <f t="shared" si="26"/>
        <v>9769.8000000000011</v>
      </c>
    </row>
    <row r="42" spans="1:34" x14ac:dyDescent="0.25">
      <c r="A42" s="46" t="s">
        <v>48</v>
      </c>
      <c r="B42" s="90">
        <v>10000</v>
      </c>
      <c r="C42" s="91">
        <v>0.1</v>
      </c>
      <c r="D42" s="85">
        <f t="shared" si="27"/>
        <v>1000</v>
      </c>
      <c r="E42" s="122">
        <v>0</v>
      </c>
      <c r="F42" s="123">
        <f t="shared" si="28"/>
        <v>0</v>
      </c>
      <c r="G42" s="122">
        <v>0</v>
      </c>
      <c r="H42" s="123">
        <f t="shared" si="29"/>
        <v>0</v>
      </c>
      <c r="I42" s="122">
        <v>0</v>
      </c>
      <c r="J42" s="123">
        <f t="shared" si="30"/>
        <v>0</v>
      </c>
      <c r="K42" s="122">
        <v>0</v>
      </c>
      <c r="L42" s="123">
        <f t="shared" si="31"/>
        <v>0</v>
      </c>
      <c r="M42" s="122">
        <v>0</v>
      </c>
      <c r="N42" s="123">
        <f t="shared" si="32"/>
        <v>0</v>
      </c>
      <c r="O42" s="93">
        <f t="shared" si="18"/>
        <v>0</v>
      </c>
      <c r="P42" s="86">
        <v>0.01</v>
      </c>
      <c r="Q42" s="87">
        <f t="shared" si="19"/>
        <v>100</v>
      </c>
      <c r="R42" s="93">
        <f t="shared" si="33"/>
        <v>100</v>
      </c>
      <c r="S42" s="86">
        <v>0.1</v>
      </c>
      <c r="T42" s="87">
        <f t="shared" si="20"/>
        <v>1000</v>
      </c>
      <c r="U42" s="86">
        <v>0.1</v>
      </c>
      <c r="V42" s="87">
        <f t="shared" si="21"/>
        <v>1000</v>
      </c>
      <c r="W42" s="93">
        <f t="shared" si="34"/>
        <v>2000</v>
      </c>
      <c r="X42" s="88">
        <v>0.1</v>
      </c>
      <c r="Y42" s="89">
        <f t="shared" si="22"/>
        <v>1000</v>
      </c>
      <c r="Z42" s="88">
        <v>0.59</v>
      </c>
      <c r="AA42" s="89">
        <f t="shared" si="23"/>
        <v>5900</v>
      </c>
      <c r="AB42" s="93">
        <f t="shared" si="35"/>
        <v>6900</v>
      </c>
      <c r="AC42" s="88">
        <v>0</v>
      </c>
      <c r="AD42" s="89">
        <f t="shared" si="24"/>
        <v>0</v>
      </c>
      <c r="AE42" s="93">
        <f t="shared" si="36"/>
        <v>0</v>
      </c>
      <c r="AF42" s="81">
        <f t="shared" si="37"/>
        <v>0</v>
      </c>
      <c r="AG42" s="82">
        <f t="shared" si="25"/>
        <v>1</v>
      </c>
      <c r="AH42" s="159">
        <f t="shared" si="26"/>
        <v>2000</v>
      </c>
    </row>
    <row r="43" spans="1:34" x14ac:dyDescent="0.25">
      <c r="A43" s="46" t="s">
        <v>49</v>
      </c>
      <c r="B43" s="90">
        <v>8404</v>
      </c>
      <c r="C43" s="91">
        <v>0.1</v>
      </c>
      <c r="D43" s="85">
        <f t="shared" si="27"/>
        <v>840.40000000000009</v>
      </c>
      <c r="E43" s="122">
        <v>0</v>
      </c>
      <c r="F43" s="123">
        <f t="shared" si="28"/>
        <v>0</v>
      </c>
      <c r="G43" s="122">
        <v>0</v>
      </c>
      <c r="H43" s="123">
        <f t="shared" si="29"/>
        <v>0</v>
      </c>
      <c r="I43" s="122">
        <v>0</v>
      </c>
      <c r="J43" s="123">
        <f t="shared" si="30"/>
        <v>0</v>
      </c>
      <c r="K43" s="122">
        <v>0</v>
      </c>
      <c r="L43" s="123">
        <f t="shared" si="31"/>
        <v>0</v>
      </c>
      <c r="M43" s="122">
        <v>0</v>
      </c>
      <c r="N43" s="123">
        <f t="shared" si="32"/>
        <v>0</v>
      </c>
      <c r="O43" s="93">
        <f t="shared" si="18"/>
        <v>0</v>
      </c>
      <c r="P43" s="86">
        <v>0.01</v>
      </c>
      <c r="Q43" s="87">
        <f t="shared" si="19"/>
        <v>84.04</v>
      </c>
      <c r="R43" s="93">
        <f t="shared" si="33"/>
        <v>84.04</v>
      </c>
      <c r="S43" s="86">
        <v>0.1</v>
      </c>
      <c r="T43" s="87">
        <f t="shared" si="20"/>
        <v>840.40000000000009</v>
      </c>
      <c r="U43" s="86">
        <v>0.2</v>
      </c>
      <c r="V43" s="87">
        <f t="shared" si="21"/>
        <v>1680.8000000000002</v>
      </c>
      <c r="W43" s="93">
        <f t="shared" si="34"/>
        <v>2521.2000000000003</v>
      </c>
      <c r="X43" s="88">
        <v>0.1</v>
      </c>
      <c r="Y43" s="89">
        <f t="shared" si="22"/>
        <v>840.40000000000009</v>
      </c>
      <c r="Z43" s="88">
        <v>0.49</v>
      </c>
      <c r="AA43" s="89">
        <f t="shared" si="23"/>
        <v>4117.96</v>
      </c>
      <c r="AB43" s="93">
        <f t="shared" si="35"/>
        <v>4958.3600000000006</v>
      </c>
      <c r="AC43" s="88">
        <v>0</v>
      </c>
      <c r="AD43" s="89">
        <f t="shared" si="24"/>
        <v>0</v>
      </c>
      <c r="AE43" s="93">
        <f t="shared" si="36"/>
        <v>0</v>
      </c>
      <c r="AF43" s="81">
        <f t="shared" si="37"/>
        <v>0</v>
      </c>
      <c r="AG43" s="82">
        <f t="shared" si="25"/>
        <v>1</v>
      </c>
      <c r="AH43" s="159">
        <f t="shared" si="26"/>
        <v>2521.2000000000003</v>
      </c>
    </row>
    <row r="44" spans="1:34" x14ac:dyDescent="0.25">
      <c r="A44" s="46" t="s">
        <v>193</v>
      </c>
      <c r="B44" s="90">
        <v>2370344</v>
      </c>
      <c r="C44" s="91">
        <v>0</v>
      </c>
      <c r="D44" s="85">
        <f t="shared" si="27"/>
        <v>0</v>
      </c>
      <c r="E44" s="122">
        <v>0</v>
      </c>
      <c r="F44" s="123">
        <f t="shared" si="28"/>
        <v>0</v>
      </c>
      <c r="G44" s="122">
        <v>0</v>
      </c>
      <c r="H44" s="123">
        <f t="shared" si="29"/>
        <v>0</v>
      </c>
      <c r="I44" s="122">
        <v>0</v>
      </c>
      <c r="J44" s="123">
        <f t="shared" si="30"/>
        <v>0</v>
      </c>
      <c r="K44" s="122">
        <v>0</v>
      </c>
      <c r="L44" s="123">
        <f t="shared" si="31"/>
        <v>0</v>
      </c>
      <c r="M44" s="122">
        <v>0</v>
      </c>
      <c r="N44" s="123">
        <f t="shared" si="32"/>
        <v>0</v>
      </c>
      <c r="O44" s="93">
        <f t="shared" si="18"/>
        <v>0</v>
      </c>
      <c r="P44" s="86">
        <v>0</v>
      </c>
      <c r="Q44" s="87">
        <f t="shared" si="19"/>
        <v>0</v>
      </c>
      <c r="R44" s="93">
        <f t="shared" si="33"/>
        <v>0</v>
      </c>
      <c r="S44" s="86">
        <v>0</v>
      </c>
      <c r="T44" s="87">
        <f t="shared" si="20"/>
        <v>0</v>
      </c>
      <c r="U44" s="86">
        <v>1</v>
      </c>
      <c r="V44" s="87">
        <f t="shared" si="21"/>
        <v>2370344</v>
      </c>
      <c r="W44" s="93">
        <f t="shared" si="34"/>
        <v>2370344</v>
      </c>
      <c r="X44" s="88">
        <v>0</v>
      </c>
      <c r="Y44" s="89">
        <f t="shared" si="22"/>
        <v>0</v>
      </c>
      <c r="Z44" s="88">
        <v>0</v>
      </c>
      <c r="AA44" s="89">
        <f t="shared" si="23"/>
        <v>0</v>
      </c>
      <c r="AB44" s="93">
        <f t="shared" si="35"/>
        <v>0</v>
      </c>
      <c r="AC44" s="88">
        <v>0</v>
      </c>
      <c r="AD44" s="89">
        <f t="shared" si="24"/>
        <v>0</v>
      </c>
      <c r="AE44" s="93">
        <f t="shared" si="36"/>
        <v>0</v>
      </c>
      <c r="AF44" s="81">
        <f t="shared" si="37"/>
        <v>0</v>
      </c>
      <c r="AG44" s="82">
        <f t="shared" si="25"/>
        <v>1</v>
      </c>
      <c r="AH44" s="159">
        <f t="shared" si="26"/>
        <v>2370344</v>
      </c>
    </row>
    <row r="45" spans="1:34" x14ac:dyDescent="0.25">
      <c r="A45" s="46" t="s">
        <v>213</v>
      </c>
      <c r="B45" s="90">
        <v>3200000</v>
      </c>
      <c r="C45" s="91">
        <v>0</v>
      </c>
      <c r="D45" s="85">
        <f t="shared" si="27"/>
        <v>0</v>
      </c>
      <c r="E45" s="122">
        <v>0</v>
      </c>
      <c r="F45" s="123">
        <f t="shared" si="28"/>
        <v>0</v>
      </c>
      <c r="G45" s="122">
        <v>0</v>
      </c>
      <c r="H45" s="123">
        <f t="shared" si="29"/>
        <v>0</v>
      </c>
      <c r="I45" s="122">
        <v>0</v>
      </c>
      <c r="J45" s="123">
        <f t="shared" si="30"/>
        <v>0</v>
      </c>
      <c r="K45" s="122">
        <v>0</v>
      </c>
      <c r="L45" s="123">
        <f t="shared" si="31"/>
        <v>0</v>
      </c>
      <c r="M45" s="122">
        <v>0</v>
      </c>
      <c r="N45" s="123">
        <f t="shared" si="32"/>
        <v>0</v>
      </c>
      <c r="O45" s="93">
        <f t="shared" si="18"/>
        <v>0</v>
      </c>
      <c r="P45" s="86">
        <v>1</v>
      </c>
      <c r="Q45" s="87">
        <f t="shared" si="19"/>
        <v>3200000</v>
      </c>
      <c r="R45" s="93">
        <f t="shared" si="33"/>
        <v>3200000</v>
      </c>
      <c r="S45" s="86">
        <v>0</v>
      </c>
      <c r="T45" s="87">
        <f t="shared" si="20"/>
        <v>0</v>
      </c>
      <c r="U45" s="86">
        <v>0</v>
      </c>
      <c r="V45" s="87">
        <f t="shared" si="21"/>
        <v>0</v>
      </c>
      <c r="W45" s="93">
        <f t="shared" si="34"/>
        <v>0</v>
      </c>
      <c r="X45" s="88">
        <v>0</v>
      </c>
      <c r="Y45" s="89">
        <f t="shared" si="22"/>
        <v>0</v>
      </c>
      <c r="Z45" s="88">
        <v>0</v>
      </c>
      <c r="AA45" s="89">
        <f t="shared" si="23"/>
        <v>0</v>
      </c>
      <c r="AB45" s="93">
        <f t="shared" si="35"/>
        <v>0</v>
      </c>
      <c r="AC45" s="88">
        <v>0</v>
      </c>
      <c r="AD45" s="89">
        <f t="shared" si="24"/>
        <v>0</v>
      </c>
      <c r="AE45" s="93">
        <f t="shared" si="36"/>
        <v>0</v>
      </c>
      <c r="AF45" s="81">
        <f t="shared" si="37"/>
        <v>0</v>
      </c>
      <c r="AG45" s="82">
        <f t="shared" si="25"/>
        <v>1</v>
      </c>
      <c r="AH45" s="159">
        <f t="shared" si="26"/>
        <v>0</v>
      </c>
    </row>
    <row r="46" spans="1:34" x14ac:dyDescent="0.25">
      <c r="A46" s="46" t="s">
        <v>264</v>
      </c>
      <c r="B46" s="90">
        <v>10459900</v>
      </c>
      <c r="C46" s="91">
        <v>0</v>
      </c>
      <c r="D46" s="85">
        <f t="shared" si="27"/>
        <v>0</v>
      </c>
      <c r="E46" s="122">
        <v>0</v>
      </c>
      <c r="F46" s="123">
        <f t="shared" si="28"/>
        <v>0</v>
      </c>
      <c r="G46" s="122">
        <v>0</v>
      </c>
      <c r="H46" s="123">
        <f t="shared" si="29"/>
        <v>0</v>
      </c>
      <c r="I46" s="122">
        <v>0</v>
      </c>
      <c r="J46" s="123">
        <f t="shared" si="30"/>
        <v>0</v>
      </c>
      <c r="K46" s="122">
        <v>0</v>
      </c>
      <c r="L46" s="123">
        <f t="shared" si="31"/>
        <v>0</v>
      </c>
      <c r="M46" s="122">
        <v>0</v>
      </c>
      <c r="N46" s="123">
        <f t="shared" si="32"/>
        <v>0</v>
      </c>
      <c r="O46" s="93">
        <f t="shared" si="18"/>
        <v>0</v>
      </c>
      <c r="P46" s="86">
        <v>1</v>
      </c>
      <c r="Q46" s="87">
        <f t="shared" si="19"/>
        <v>10459900</v>
      </c>
      <c r="R46" s="93">
        <f t="shared" si="33"/>
        <v>10459900</v>
      </c>
      <c r="S46" s="86">
        <v>0</v>
      </c>
      <c r="T46" s="87">
        <f t="shared" si="20"/>
        <v>0</v>
      </c>
      <c r="U46" s="86">
        <v>0</v>
      </c>
      <c r="V46" s="87">
        <f t="shared" si="21"/>
        <v>0</v>
      </c>
      <c r="W46" s="93">
        <f t="shared" si="34"/>
        <v>0</v>
      </c>
      <c r="X46" s="88">
        <v>0</v>
      </c>
      <c r="Y46" s="89">
        <f t="shared" si="22"/>
        <v>0</v>
      </c>
      <c r="Z46" s="88">
        <v>0</v>
      </c>
      <c r="AA46" s="89">
        <f t="shared" si="23"/>
        <v>0</v>
      </c>
      <c r="AB46" s="93">
        <f t="shared" si="35"/>
        <v>0</v>
      </c>
      <c r="AC46" s="88">
        <v>0</v>
      </c>
      <c r="AD46" s="89">
        <f t="shared" si="24"/>
        <v>0</v>
      </c>
      <c r="AE46" s="93">
        <f t="shared" si="36"/>
        <v>0</v>
      </c>
      <c r="AF46" s="81">
        <f t="shared" si="37"/>
        <v>0</v>
      </c>
      <c r="AG46" s="82">
        <f t="shared" si="25"/>
        <v>1</v>
      </c>
      <c r="AH46" s="159">
        <f t="shared" si="26"/>
        <v>0</v>
      </c>
    </row>
    <row r="47" spans="1:34" x14ac:dyDescent="0.25">
      <c r="A47" s="46" t="s">
        <v>278</v>
      </c>
      <c r="B47" s="90">
        <v>2105000</v>
      </c>
      <c r="C47" s="91">
        <v>0</v>
      </c>
      <c r="D47" s="85">
        <f t="shared" si="27"/>
        <v>0</v>
      </c>
      <c r="E47" s="122">
        <v>0</v>
      </c>
      <c r="F47" s="123">
        <f t="shared" si="28"/>
        <v>0</v>
      </c>
      <c r="G47" s="122">
        <v>0</v>
      </c>
      <c r="H47" s="123">
        <f t="shared" si="29"/>
        <v>0</v>
      </c>
      <c r="I47" s="122">
        <v>0</v>
      </c>
      <c r="J47" s="123">
        <f t="shared" si="30"/>
        <v>0</v>
      </c>
      <c r="K47" s="122">
        <v>1</v>
      </c>
      <c r="L47" s="123">
        <f t="shared" si="31"/>
        <v>2105000</v>
      </c>
      <c r="M47" s="122">
        <v>0</v>
      </c>
      <c r="N47" s="123">
        <f t="shared" si="32"/>
        <v>0</v>
      </c>
      <c r="O47" s="93">
        <f t="shared" si="18"/>
        <v>2105000</v>
      </c>
      <c r="P47" s="86">
        <v>0</v>
      </c>
      <c r="Q47" s="87">
        <f t="shared" si="19"/>
        <v>0</v>
      </c>
      <c r="R47" s="93">
        <f t="shared" si="33"/>
        <v>0</v>
      </c>
      <c r="S47" s="86">
        <v>0</v>
      </c>
      <c r="T47" s="87">
        <f t="shared" si="20"/>
        <v>0</v>
      </c>
      <c r="U47" s="86">
        <v>0</v>
      </c>
      <c r="V47" s="87">
        <f t="shared" si="21"/>
        <v>0</v>
      </c>
      <c r="W47" s="93">
        <f t="shared" si="34"/>
        <v>0</v>
      </c>
      <c r="X47" s="88">
        <v>0</v>
      </c>
      <c r="Y47" s="89">
        <f t="shared" si="22"/>
        <v>0</v>
      </c>
      <c r="Z47" s="88">
        <v>0</v>
      </c>
      <c r="AA47" s="89">
        <f t="shared" si="23"/>
        <v>0</v>
      </c>
      <c r="AB47" s="93">
        <f t="shared" si="35"/>
        <v>0</v>
      </c>
      <c r="AC47" s="88">
        <v>0</v>
      </c>
      <c r="AD47" s="89">
        <f t="shared" si="24"/>
        <v>0</v>
      </c>
      <c r="AE47" s="93">
        <f t="shared" si="36"/>
        <v>0</v>
      </c>
      <c r="AF47" s="81">
        <f t="shared" si="37"/>
        <v>0</v>
      </c>
      <c r="AG47" s="82">
        <f t="shared" si="25"/>
        <v>1</v>
      </c>
      <c r="AH47" s="159">
        <f t="shared" si="26"/>
        <v>2105000</v>
      </c>
    </row>
    <row r="48" spans="1:34" x14ac:dyDescent="0.25">
      <c r="A48" s="46" t="s">
        <v>279</v>
      </c>
      <c r="B48" s="90">
        <v>0</v>
      </c>
      <c r="C48" s="91">
        <v>0</v>
      </c>
      <c r="D48" s="85">
        <f t="shared" si="27"/>
        <v>0</v>
      </c>
      <c r="E48" s="122">
        <v>0</v>
      </c>
      <c r="F48" s="123">
        <f t="shared" si="28"/>
        <v>0</v>
      </c>
      <c r="G48" s="122">
        <v>0</v>
      </c>
      <c r="H48" s="123">
        <f t="shared" si="29"/>
        <v>0</v>
      </c>
      <c r="I48" s="122">
        <v>0</v>
      </c>
      <c r="J48" s="123">
        <f t="shared" si="30"/>
        <v>0</v>
      </c>
      <c r="K48" s="122">
        <v>0</v>
      </c>
      <c r="L48" s="123">
        <f t="shared" si="31"/>
        <v>0</v>
      </c>
      <c r="M48" s="122">
        <v>0</v>
      </c>
      <c r="N48" s="123">
        <f t="shared" si="32"/>
        <v>0</v>
      </c>
      <c r="O48" s="93">
        <f t="shared" si="18"/>
        <v>0</v>
      </c>
      <c r="P48" s="86">
        <v>0</v>
      </c>
      <c r="Q48" s="87">
        <f t="shared" si="19"/>
        <v>0</v>
      </c>
      <c r="R48" s="93">
        <f t="shared" si="33"/>
        <v>0</v>
      </c>
      <c r="S48" s="86">
        <v>0</v>
      </c>
      <c r="T48" s="87">
        <f t="shared" si="20"/>
        <v>0</v>
      </c>
      <c r="U48" s="86">
        <v>0</v>
      </c>
      <c r="V48" s="87">
        <f t="shared" si="21"/>
        <v>0</v>
      </c>
      <c r="W48" s="93">
        <f t="shared" si="34"/>
        <v>0</v>
      </c>
      <c r="X48" s="88">
        <v>0</v>
      </c>
      <c r="Y48" s="89">
        <v>0</v>
      </c>
      <c r="Z48" s="88">
        <v>0</v>
      </c>
      <c r="AA48" s="89">
        <f t="shared" si="23"/>
        <v>0</v>
      </c>
      <c r="AB48" s="93">
        <f t="shared" si="35"/>
        <v>0</v>
      </c>
      <c r="AC48" s="88">
        <v>1</v>
      </c>
      <c r="AD48" s="89">
        <f t="shared" si="24"/>
        <v>0</v>
      </c>
      <c r="AE48" s="93">
        <f t="shared" si="36"/>
        <v>0</v>
      </c>
      <c r="AF48" s="81">
        <f t="shared" si="37"/>
        <v>0</v>
      </c>
      <c r="AG48" s="82">
        <f t="shared" si="25"/>
        <v>1</v>
      </c>
      <c r="AH48" s="159">
        <f t="shared" si="26"/>
        <v>0</v>
      </c>
    </row>
    <row r="49" spans="1:34" x14ac:dyDescent="0.25">
      <c r="A49" s="46" t="s">
        <v>232</v>
      </c>
      <c r="B49" s="90"/>
      <c r="C49" s="91">
        <v>0</v>
      </c>
      <c r="D49" s="85">
        <f t="shared" si="27"/>
        <v>0</v>
      </c>
      <c r="E49" s="122">
        <v>0</v>
      </c>
      <c r="F49" s="123">
        <f t="shared" si="28"/>
        <v>0</v>
      </c>
      <c r="G49" s="122">
        <v>0</v>
      </c>
      <c r="H49" s="123">
        <f t="shared" si="29"/>
        <v>0</v>
      </c>
      <c r="I49" s="122">
        <v>0</v>
      </c>
      <c r="J49" s="123">
        <f t="shared" si="30"/>
        <v>0</v>
      </c>
      <c r="K49" s="122">
        <v>0</v>
      </c>
      <c r="L49" s="123">
        <f t="shared" si="31"/>
        <v>0</v>
      </c>
      <c r="M49" s="122">
        <v>0</v>
      </c>
      <c r="N49" s="123">
        <f t="shared" si="32"/>
        <v>0</v>
      </c>
      <c r="O49" s="93">
        <f t="shared" si="18"/>
        <v>0</v>
      </c>
      <c r="P49" s="86">
        <v>0</v>
      </c>
      <c r="Q49" s="87">
        <f t="shared" si="19"/>
        <v>0</v>
      </c>
      <c r="R49" s="93">
        <f t="shared" si="33"/>
        <v>0</v>
      </c>
      <c r="S49" s="86">
        <v>0</v>
      </c>
      <c r="T49" s="87">
        <f t="shared" si="20"/>
        <v>0</v>
      </c>
      <c r="U49" s="86">
        <v>0</v>
      </c>
      <c r="V49" s="87">
        <f t="shared" si="21"/>
        <v>0</v>
      </c>
      <c r="W49" s="93">
        <f t="shared" si="34"/>
        <v>0</v>
      </c>
      <c r="X49" s="88">
        <v>0</v>
      </c>
      <c r="Y49" s="89">
        <f>+X49*B49</f>
        <v>0</v>
      </c>
      <c r="Z49" s="88">
        <v>0.5</v>
      </c>
      <c r="AA49" s="89">
        <f t="shared" si="23"/>
        <v>0</v>
      </c>
      <c r="AB49" s="93">
        <f t="shared" si="35"/>
        <v>0</v>
      </c>
      <c r="AC49" s="88">
        <v>0.5</v>
      </c>
      <c r="AD49" s="89">
        <f t="shared" si="24"/>
        <v>0</v>
      </c>
      <c r="AE49" s="93">
        <f t="shared" si="36"/>
        <v>0</v>
      </c>
      <c r="AF49" s="81">
        <f t="shared" si="37"/>
        <v>0</v>
      </c>
      <c r="AG49" s="82">
        <f t="shared" si="25"/>
        <v>1</v>
      </c>
      <c r="AH49" s="159">
        <f t="shared" si="26"/>
        <v>0</v>
      </c>
    </row>
    <row r="50" spans="1:34" x14ac:dyDescent="0.25">
      <c r="A50" s="46" t="s">
        <v>70</v>
      </c>
      <c r="B50" s="90">
        <v>447300</v>
      </c>
      <c r="C50" s="91">
        <v>0.1</v>
      </c>
      <c r="D50" s="85">
        <f t="shared" si="27"/>
        <v>44730</v>
      </c>
      <c r="E50" s="122">
        <v>0</v>
      </c>
      <c r="F50" s="123">
        <f t="shared" si="28"/>
        <v>0</v>
      </c>
      <c r="G50" s="122">
        <v>0</v>
      </c>
      <c r="H50" s="123">
        <f t="shared" si="29"/>
        <v>0</v>
      </c>
      <c r="I50" s="122">
        <v>0</v>
      </c>
      <c r="J50" s="123">
        <f t="shared" si="30"/>
        <v>0</v>
      </c>
      <c r="K50" s="122">
        <v>0</v>
      </c>
      <c r="L50" s="123">
        <f t="shared" si="31"/>
        <v>0</v>
      </c>
      <c r="M50" s="122">
        <v>0</v>
      </c>
      <c r="N50" s="123">
        <f>+B50*M50</f>
        <v>0</v>
      </c>
      <c r="O50" s="93">
        <f t="shared" si="18"/>
        <v>0</v>
      </c>
      <c r="P50" s="86">
        <v>0.01</v>
      </c>
      <c r="Q50" s="87">
        <f t="shared" si="19"/>
        <v>4473</v>
      </c>
      <c r="R50" s="93">
        <f t="shared" si="33"/>
        <v>4473</v>
      </c>
      <c r="S50" s="86">
        <v>0.1</v>
      </c>
      <c r="T50" s="87">
        <f t="shared" si="20"/>
        <v>44730</v>
      </c>
      <c r="U50" s="86">
        <v>0.2</v>
      </c>
      <c r="V50" s="87">
        <f t="shared" si="21"/>
        <v>89460</v>
      </c>
      <c r="W50" s="93">
        <f t="shared" si="34"/>
        <v>134190</v>
      </c>
      <c r="X50" s="88">
        <v>0.1</v>
      </c>
      <c r="Y50" s="89">
        <f>+X50*B50</f>
        <v>44730</v>
      </c>
      <c r="Z50" s="88">
        <v>0.49</v>
      </c>
      <c r="AA50" s="89">
        <f t="shared" si="23"/>
        <v>219177</v>
      </c>
      <c r="AB50" s="93">
        <f t="shared" si="35"/>
        <v>263907</v>
      </c>
      <c r="AC50" s="88">
        <v>0</v>
      </c>
      <c r="AD50" s="89">
        <f t="shared" si="24"/>
        <v>0</v>
      </c>
      <c r="AE50" s="93">
        <f t="shared" si="36"/>
        <v>0</v>
      </c>
      <c r="AF50" s="81">
        <f t="shared" si="37"/>
        <v>0</v>
      </c>
      <c r="AG50" s="82">
        <f t="shared" si="25"/>
        <v>1</v>
      </c>
      <c r="AH50" s="159">
        <f t="shared" si="26"/>
        <v>134190</v>
      </c>
    </row>
    <row r="51" spans="1:34" x14ac:dyDescent="0.25">
      <c r="A51" s="46" t="s">
        <v>181</v>
      </c>
      <c r="B51" s="92">
        <f>SUM(B16:B50)</f>
        <v>26426909</v>
      </c>
      <c r="C51" s="44"/>
      <c r="D51" s="93">
        <f>SUM(D16:D50)</f>
        <v>656916.70000000007</v>
      </c>
      <c r="E51" s="124"/>
      <c r="F51" s="125">
        <f>SUM(F16:F50)</f>
        <v>372884.75</v>
      </c>
      <c r="G51" s="124"/>
      <c r="H51" s="125">
        <f>SUM(H16:H50)</f>
        <v>468063.65</v>
      </c>
      <c r="I51" s="124"/>
      <c r="J51" s="125">
        <f>SUM(J16:J50)</f>
        <v>25444.080000000002</v>
      </c>
      <c r="K51" s="125"/>
      <c r="L51" s="125">
        <f>SUM(L16:L50)</f>
        <v>2304836</v>
      </c>
      <c r="M51" s="125"/>
      <c r="N51" s="125">
        <f>SUM(N16:N50)</f>
        <v>108040.79999999999</v>
      </c>
      <c r="O51" s="93">
        <f>SUM(O16:O50)</f>
        <v>3279269.28</v>
      </c>
      <c r="P51" s="44"/>
      <c r="Q51" s="95">
        <f>SUM(Q16:Q50)</f>
        <v>13704920.859999999</v>
      </c>
      <c r="R51" s="93">
        <f>SUM(R16:R50)</f>
        <v>13704920.859999999</v>
      </c>
      <c r="S51" s="44"/>
      <c r="T51" s="95">
        <f>SUM(T16:T50)</f>
        <v>629757.15</v>
      </c>
      <c r="U51" s="44"/>
      <c r="V51" s="95">
        <f>SUM(V16:V50)</f>
        <v>3206165.95</v>
      </c>
      <c r="W51" s="93">
        <f>SUM(W16:W50)</f>
        <v>3835923.1</v>
      </c>
      <c r="X51" s="44"/>
      <c r="Y51" s="94">
        <f>SUM(Y16:Y50)</f>
        <v>873338.69</v>
      </c>
      <c r="Z51" s="44"/>
      <c r="AA51" s="94">
        <f>SUM(AA16:AA50)</f>
        <v>2625441.06</v>
      </c>
      <c r="AB51" s="93">
        <f>SUM(AB16:AB50)</f>
        <v>3498779.75</v>
      </c>
      <c r="AC51" s="79"/>
      <c r="AD51" s="94">
        <f>SUM(AD16:AD50)</f>
        <v>1451099.31</v>
      </c>
      <c r="AE51" s="93">
        <f>SUM(AE16:AE50)</f>
        <v>1451099.31</v>
      </c>
      <c r="AF51" s="81"/>
      <c r="AG51" s="82">
        <f>+C51+E51+G51+I51+P51+S51+U51+X51+Z51+AC51</f>
        <v>0</v>
      </c>
      <c r="AH51" s="159">
        <f>SUM(AH16:AH50)</f>
        <v>8566291.6900000013</v>
      </c>
    </row>
    <row r="54" spans="1:34" ht="30" x14ac:dyDescent="0.25">
      <c r="A54" s="71" t="s">
        <v>199</v>
      </c>
      <c r="B54" s="84" t="s">
        <v>180</v>
      </c>
      <c r="C54" s="74" t="s">
        <v>159</v>
      </c>
      <c r="D54" s="71" t="s">
        <v>176</v>
      </c>
      <c r="E54" s="106" t="s">
        <v>200</v>
      </c>
      <c r="F54" s="108" t="s">
        <v>176</v>
      </c>
      <c r="G54" s="80" t="s">
        <v>201</v>
      </c>
      <c r="H54" s="80" t="s">
        <v>202</v>
      </c>
      <c r="I54" s="99"/>
      <c r="J54" s="99"/>
      <c r="K54" s="99"/>
      <c r="L54" s="99"/>
      <c r="M54" s="99"/>
      <c r="N54" s="99"/>
      <c r="O54" s="99"/>
      <c r="P54" s="99"/>
      <c r="Q54" s="99"/>
      <c r="R54" s="99"/>
      <c r="S54" s="99"/>
      <c r="T54" s="99"/>
      <c r="U54" s="100"/>
      <c r="V54" s="100"/>
      <c r="W54" s="100"/>
      <c r="X54" s="99"/>
      <c r="Y54" s="99"/>
      <c r="Z54" s="100"/>
      <c r="AA54" s="100"/>
      <c r="AB54" s="100"/>
      <c r="AC54" s="100"/>
      <c r="AD54" s="100"/>
      <c r="AE54" s="100"/>
      <c r="AF54" s="101"/>
      <c r="AG54" s="101"/>
    </row>
    <row r="55" spans="1:34" x14ac:dyDescent="0.25">
      <c r="A55" s="46" t="s">
        <v>204</v>
      </c>
      <c r="B55" s="90">
        <v>142184</v>
      </c>
      <c r="C55" s="91">
        <v>0.5</v>
      </c>
      <c r="D55" s="85">
        <f>+B55*C55</f>
        <v>71092</v>
      </c>
      <c r="E55" s="107">
        <v>0.5</v>
      </c>
      <c r="F55" s="109">
        <f>+E55*B55</f>
        <v>71092</v>
      </c>
      <c r="G55" s="110">
        <f>+C55+E55</f>
        <v>1</v>
      </c>
      <c r="H55" s="109">
        <f>+(F55+D55)-B55</f>
        <v>0</v>
      </c>
      <c r="I55" s="103"/>
      <c r="J55" s="102"/>
      <c r="K55" s="102"/>
      <c r="L55" s="102"/>
      <c r="M55" s="102"/>
      <c r="N55" s="102"/>
      <c r="O55" s="102"/>
      <c r="P55" s="103"/>
      <c r="Q55" s="102"/>
      <c r="R55" s="102"/>
      <c r="S55" s="103"/>
      <c r="T55" s="102"/>
      <c r="U55" s="103"/>
      <c r="V55" s="102"/>
      <c r="W55" s="102"/>
      <c r="X55" s="103"/>
      <c r="Y55" s="102"/>
      <c r="Z55" s="103"/>
      <c r="AA55" s="102"/>
      <c r="AB55" s="102"/>
      <c r="AC55" s="103"/>
      <c r="AD55" s="102"/>
      <c r="AE55" s="104"/>
      <c r="AF55" s="104"/>
      <c r="AG55" s="105"/>
    </row>
    <row r="56" spans="1:34" x14ac:dyDescent="0.25">
      <c r="A56" s="46" t="s">
        <v>205</v>
      </c>
      <c r="B56" s="90"/>
      <c r="C56" s="91">
        <v>0.5</v>
      </c>
      <c r="D56" s="85">
        <f t="shared" ref="D56:D62" si="38">+B56*C56</f>
        <v>0</v>
      </c>
      <c r="E56" s="107">
        <v>0.5</v>
      </c>
      <c r="F56" s="109">
        <f t="shared" ref="F56:F62" si="39">+E56*B56</f>
        <v>0</v>
      </c>
      <c r="G56" s="110">
        <f t="shared" ref="G56:G63" si="40">+C56+E56</f>
        <v>1</v>
      </c>
      <c r="H56" s="109">
        <f t="shared" ref="H56:H63" si="41">+(F56+D56)-B56</f>
        <v>0</v>
      </c>
      <c r="I56" s="103"/>
      <c r="J56" s="102"/>
      <c r="K56" s="102"/>
      <c r="L56" s="102"/>
      <c r="M56" s="102"/>
      <c r="N56" s="102"/>
      <c r="O56" s="102"/>
      <c r="P56" s="103"/>
      <c r="Q56" s="102"/>
      <c r="R56" s="102"/>
      <c r="S56" s="103"/>
      <c r="T56" s="102"/>
      <c r="U56" s="103"/>
      <c r="V56" s="102"/>
      <c r="W56" s="102"/>
      <c r="X56" s="103"/>
      <c r="Y56" s="102"/>
      <c r="Z56" s="103"/>
      <c r="AA56" s="102"/>
      <c r="AB56" s="102"/>
      <c r="AC56" s="103"/>
      <c r="AD56" s="102"/>
      <c r="AE56" s="104"/>
      <c r="AF56" s="104"/>
      <c r="AG56" s="105"/>
    </row>
    <row r="57" spans="1:34" x14ac:dyDescent="0.25">
      <c r="A57" s="46" t="s">
        <v>206</v>
      </c>
      <c r="B57" s="90">
        <v>2015193</v>
      </c>
      <c r="C57" s="91">
        <v>0.5</v>
      </c>
      <c r="D57" s="85">
        <f t="shared" si="38"/>
        <v>1007596.5</v>
      </c>
      <c r="E57" s="107">
        <v>0.5</v>
      </c>
      <c r="F57" s="109">
        <f t="shared" si="39"/>
        <v>1007596.5</v>
      </c>
      <c r="G57" s="110">
        <f t="shared" si="40"/>
        <v>1</v>
      </c>
      <c r="H57" s="109">
        <f t="shared" si="41"/>
        <v>0</v>
      </c>
      <c r="I57" s="103"/>
      <c r="J57" s="102"/>
      <c r="K57" s="102"/>
      <c r="L57" s="102"/>
      <c r="M57" s="102"/>
      <c r="N57" s="102"/>
      <c r="O57" s="102"/>
      <c r="P57" s="103"/>
      <c r="Q57" s="102"/>
      <c r="R57" s="102"/>
      <c r="S57" s="103"/>
      <c r="T57" s="102"/>
      <c r="U57" s="103"/>
      <c r="V57" s="102"/>
      <c r="W57" s="102"/>
      <c r="X57" s="103"/>
      <c r="Y57" s="102"/>
      <c r="Z57" s="103"/>
      <c r="AA57" s="102"/>
      <c r="AB57" s="102"/>
      <c r="AC57" s="103"/>
      <c r="AD57" s="102"/>
      <c r="AE57" s="104"/>
      <c r="AF57" s="104"/>
      <c r="AG57" s="105"/>
    </row>
    <row r="58" spans="1:34" x14ac:dyDescent="0.25">
      <c r="A58" s="46" t="s">
        <v>209</v>
      </c>
      <c r="B58" s="90">
        <v>198400</v>
      </c>
      <c r="C58" s="91">
        <v>0.5</v>
      </c>
      <c r="D58" s="85">
        <f t="shared" si="38"/>
        <v>99200</v>
      </c>
      <c r="E58" s="107">
        <v>0.5</v>
      </c>
      <c r="F58" s="109">
        <f t="shared" si="39"/>
        <v>99200</v>
      </c>
      <c r="G58" s="110">
        <f t="shared" si="40"/>
        <v>1</v>
      </c>
      <c r="H58" s="109">
        <f t="shared" si="41"/>
        <v>0</v>
      </c>
      <c r="I58" s="103"/>
      <c r="J58" s="102"/>
      <c r="K58" s="102"/>
      <c r="L58" s="102"/>
      <c r="M58" s="102"/>
      <c r="N58" s="102"/>
      <c r="O58" s="102"/>
      <c r="P58" s="103"/>
      <c r="Q58" s="102"/>
      <c r="R58" s="102"/>
      <c r="S58" s="103"/>
      <c r="T58" s="102"/>
      <c r="U58" s="103"/>
      <c r="V58" s="102"/>
      <c r="W58" s="102"/>
      <c r="X58" s="103"/>
      <c r="Y58" s="102"/>
      <c r="Z58" s="103"/>
      <c r="AA58" s="102"/>
      <c r="AB58" s="102"/>
      <c r="AC58" s="103"/>
      <c r="AD58" s="102"/>
      <c r="AE58" s="104"/>
      <c r="AF58" s="104"/>
      <c r="AG58" s="105"/>
    </row>
    <row r="59" spans="1:34" x14ac:dyDescent="0.25">
      <c r="A59" s="46" t="s">
        <v>210</v>
      </c>
      <c r="B59" s="90">
        <v>128000</v>
      </c>
      <c r="C59" s="91">
        <v>0.5</v>
      </c>
      <c r="D59" s="85">
        <f t="shared" si="38"/>
        <v>64000</v>
      </c>
      <c r="E59" s="107">
        <v>0.5</v>
      </c>
      <c r="F59" s="109">
        <f t="shared" si="39"/>
        <v>64000</v>
      </c>
      <c r="G59" s="110">
        <f t="shared" si="40"/>
        <v>1</v>
      </c>
      <c r="H59" s="109">
        <f t="shared" si="41"/>
        <v>0</v>
      </c>
      <c r="I59" s="103"/>
      <c r="J59" s="102"/>
      <c r="K59" s="102"/>
      <c r="L59" s="102"/>
      <c r="M59" s="102"/>
      <c r="N59" s="102"/>
      <c r="O59" s="102"/>
      <c r="P59" s="103"/>
      <c r="Q59" s="102"/>
      <c r="R59" s="102"/>
      <c r="S59" s="103"/>
      <c r="T59" s="102"/>
      <c r="U59" s="103"/>
      <c r="V59" s="102"/>
      <c r="W59" s="102"/>
      <c r="X59" s="103"/>
      <c r="Y59" s="102"/>
      <c r="Z59" s="103"/>
      <c r="AA59" s="102"/>
      <c r="AB59" s="102"/>
      <c r="AC59" s="103"/>
      <c r="AD59" s="102"/>
      <c r="AE59" s="104"/>
      <c r="AF59" s="104"/>
      <c r="AG59" s="105"/>
    </row>
    <row r="60" spans="1:34" x14ac:dyDescent="0.25">
      <c r="A60" s="46" t="s">
        <v>207</v>
      </c>
      <c r="B60" s="90">
        <v>452236</v>
      </c>
      <c r="C60" s="91">
        <v>0.5</v>
      </c>
      <c r="D60" s="85">
        <f t="shared" si="38"/>
        <v>226118</v>
      </c>
      <c r="E60" s="107">
        <v>0.5</v>
      </c>
      <c r="F60" s="109">
        <f t="shared" si="39"/>
        <v>226118</v>
      </c>
      <c r="G60" s="110">
        <f t="shared" si="40"/>
        <v>1</v>
      </c>
      <c r="H60" s="109">
        <f t="shared" si="41"/>
        <v>0</v>
      </c>
      <c r="I60" s="103"/>
      <c r="J60" s="102"/>
      <c r="K60" s="102"/>
      <c r="L60" s="102"/>
      <c r="M60" s="102"/>
      <c r="N60" s="102"/>
      <c r="O60" s="102"/>
      <c r="P60" s="103"/>
      <c r="Q60" s="102"/>
      <c r="R60" s="102"/>
      <c r="S60" s="103"/>
      <c r="T60" s="102"/>
      <c r="U60" s="103"/>
      <c r="V60" s="102"/>
      <c r="W60" s="102"/>
      <c r="X60" s="103"/>
      <c r="Y60" s="102"/>
      <c r="Z60" s="103"/>
      <c r="AA60" s="102"/>
      <c r="AB60" s="102"/>
      <c r="AC60" s="103"/>
      <c r="AD60" s="102"/>
      <c r="AE60" s="104"/>
      <c r="AF60" s="104"/>
      <c r="AG60" s="105"/>
    </row>
    <row r="61" spans="1:34" x14ac:dyDescent="0.25">
      <c r="A61" s="46" t="s">
        <v>208</v>
      </c>
      <c r="B61" s="90"/>
      <c r="C61" s="91">
        <v>0.5</v>
      </c>
      <c r="D61" s="85">
        <f t="shared" si="38"/>
        <v>0</v>
      </c>
      <c r="E61" s="107">
        <v>0.5</v>
      </c>
      <c r="F61" s="109">
        <f t="shared" si="39"/>
        <v>0</v>
      </c>
      <c r="G61" s="110">
        <f t="shared" si="40"/>
        <v>1</v>
      </c>
      <c r="H61" s="109">
        <f t="shared" si="41"/>
        <v>0</v>
      </c>
      <c r="I61" s="103"/>
      <c r="J61" s="102"/>
      <c r="K61" s="102"/>
      <c r="L61" s="102"/>
      <c r="M61" s="102"/>
      <c r="N61" s="102"/>
      <c r="O61" s="102"/>
      <c r="P61" s="103"/>
      <c r="Q61" s="102"/>
      <c r="R61" s="102"/>
      <c r="S61" s="103"/>
      <c r="T61" s="102"/>
      <c r="U61" s="103"/>
      <c r="V61" s="102"/>
      <c r="W61" s="102"/>
      <c r="X61" s="103"/>
      <c r="Y61" s="102"/>
      <c r="Z61" s="103"/>
      <c r="AA61" s="102"/>
      <c r="AB61" s="102"/>
      <c r="AC61" s="103"/>
      <c r="AD61" s="102"/>
      <c r="AE61" s="104"/>
      <c r="AF61" s="104"/>
      <c r="AG61" s="105"/>
    </row>
    <row r="62" spans="1:34" x14ac:dyDescent="0.25">
      <c r="A62" s="46" t="s">
        <v>70</v>
      </c>
      <c r="B62" s="90">
        <f>3411670+6428571</f>
        <v>9840241</v>
      </c>
      <c r="C62" s="91">
        <v>0.5</v>
      </c>
      <c r="D62" s="85">
        <f t="shared" si="38"/>
        <v>4920120.5</v>
      </c>
      <c r="E62" s="107">
        <v>0.5</v>
      </c>
      <c r="F62" s="109">
        <f t="shared" si="39"/>
        <v>4920120.5</v>
      </c>
      <c r="G62" s="110">
        <f t="shared" si="40"/>
        <v>1</v>
      </c>
      <c r="H62" s="109">
        <f t="shared" si="41"/>
        <v>0</v>
      </c>
      <c r="I62" s="103"/>
      <c r="J62" s="102"/>
      <c r="K62" s="102"/>
      <c r="L62" s="102"/>
      <c r="M62" s="102"/>
      <c r="N62" s="102"/>
      <c r="O62" s="102"/>
      <c r="P62" s="103"/>
      <c r="Q62" s="102"/>
      <c r="R62" s="102"/>
      <c r="S62" s="103"/>
      <c r="T62" s="102"/>
      <c r="U62" s="103"/>
      <c r="V62" s="102"/>
      <c r="W62" s="102"/>
      <c r="X62" s="103"/>
      <c r="Y62" s="102"/>
      <c r="Z62" s="103"/>
      <c r="AA62" s="102"/>
      <c r="AB62" s="102"/>
      <c r="AC62" s="103"/>
      <c r="AD62" s="102"/>
      <c r="AE62" s="104"/>
      <c r="AF62" s="104"/>
      <c r="AG62" s="105"/>
    </row>
    <row r="63" spans="1:34" x14ac:dyDescent="0.25">
      <c r="A63" s="115" t="s">
        <v>203</v>
      </c>
      <c r="B63" s="111">
        <f>SUM(B55:B62)</f>
        <v>12776254</v>
      </c>
      <c r="C63" s="91"/>
      <c r="D63" s="93">
        <f>SUM(D55:D62)</f>
        <v>6388127</v>
      </c>
      <c r="E63" s="107"/>
      <c r="F63" s="112">
        <f>SUM(F55:F62)</f>
        <v>6388127</v>
      </c>
      <c r="G63" s="110">
        <f t="shared" si="40"/>
        <v>0</v>
      </c>
      <c r="H63" s="109">
        <f t="shared" si="41"/>
        <v>0</v>
      </c>
      <c r="I63" s="103"/>
      <c r="J63" s="102"/>
      <c r="K63" s="102"/>
      <c r="L63" s="102"/>
      <c r="M63" s="102"/>
      <c r="N63" s="102"/>
      <c r="O63" s="102"/>
      <c r="P63" s="103"/>
      <c r="Q63" s="102"/>
      <c r="R63" s="102"/>
      <c r="S63" s="103"/>
      <c r="T63" s="102"/>
      <c r="U63" s="103"/>
      <c r="V63" s="102"/>
      <c r="W63" s="102"/>
      <c r="X63" s="103"/>
      <c r="Y63" s="102"/>
      <c r="Z63" s="103"/>
      <c r="AA63" s="102"/>
      <c r="AB63" s="102"/>
      <c r="AC63" s="103"/>
      <c r="AD63" s="102"/>
      <c r="AE63" s="104"/>
      <c r="AF63" s="104"/>
      <c r="AG63" s="105"/>
    </row>
    <row r="65" spans="1:5" x14ac:dyDescent="0.25">
      <c r="A65" s="116" t="s">
        <v>211</v>
      </c>
      <c r="B65" s="117">
        <f>+B12+B51+B63</f>
        <v>59586991.167999998</v>
      </c>
    </row>
    <row r="67" spans="1:5" x14ac:dyDescent="0.25">
      <c r="A67" s="116" t="s">
        <v>327</v>
      </c>
    </row>
    <row r="68" spans="1:5" x14ac:dyDescent="0.25">
      <c r="A68" s="51" t="s">
        <v>10</v>
      </c>
      <c r="B68" s="52">
        <f>+D12+D51</f>
        <v>5483714.4488000004</v>
      </c>
    </row>
    <row r="69" spans="1:5" x14ac:dyDescent="0.25">
      <c r="A69" s="51" t="s">
        <v>228</v>
      </c>
      <c r="B69" s="52">
        <f>+O12+O51</f>
        <v>14355230.68</v>
      </c>
    </row>
    <row r="70" spans="1:5" x14ac:dyDescent="0.25">
      <c r="A70" s="51" t="s">
        <v>322</v>
      </c>
      <c r="B70" s="52">
        <f>+Q12+Q51</f>
        <v>13749284.075679999</v>
      </c>
    </row>
    <row r="71" spans="1:5" x14ac:dyDescent="0.25">
      <c r="A71" s="51" t="s">
        <v>323</v>
      </c>
      <c r="B71" s="52">
        <f>+T12+T51</f>
        <v>852523.58135999995</v>
      </c>
    </row>
    <row r="72" spans="1:5" x14ac:dyDescent="0.25">
      <c r="A72" s="51" t="s">
        <v>324</v>
      </c>
      <c r="B72" s="52">
        <f>+V12+V51</f>
        <v>3819082.0284000002</v>
      </c>
    </row>
    <row r="73" spans="1:5" x14ac:dyDescent="0.25">
      <c r="A73" s="51" t="s">
        <v>325</v>
      </c>
      <c r="B73" s="52">
        <f>+AB12+AE12+AB51+AE51</f>
        <v>8550902.3537600003</v>
      </c>
    </row>
    <row r="74" spans="1:5" x14ac:dyDescent="0.25">
      <c r="A74" s="51" t="s">
        <v>346</v>
      </c>
      <c r="B74" s="52">
        <f>+B63</f>
        <v>12776254</v>
      </c>
    </row>
    <row r="75" spans="1:5" x14ac:dyDescent="0.25">
      <c r="A75" s="116" t="s">
        <v>211</v>
      </c>
      <c r="B75" s="117">
        <f>SUM(B68:B74)</f>
        <v>59586991.167999998</v>
      </c>
    </row>
    <row r="76" spans="1:5" hidden="1" x14ac:dyDescent="0.25">
      <c r="A76" s="113" t="s">
        <v>196</v>
      </c>
      <c r="B76" s="114">
        <f>+B65-B75</f>
        <v>0</v>
      </c>
    </row>
    <row r="78" spans="1:5" x14ac:dyDescent="0.25">
      <c r="B78" s="162"/>
    </row>
    <row r="79" spans="1:5" x14ac:dyDescent="0.25">
      <c r="B79" s="162"/>
    </row>
    <row r="80" spans="1:5" x14ac:dyDescent="0.25">
      <c r="E80" s="162"/>
    </row>
  </sheetData>
  <mergeCells count="14">
    <mergeCell ref="AF2:AG2"/>
    <mergeCell ref="E3:F3"/>
    <mergeCell ref="G3:H3"/>
    <mergeCell ref="I3:J3"/>
    <mergeCell ref="K3:L3"/>
    <mergeCell ref="M3:N3"/>
    <mergeCell ref="P3:Q3"/>
    <mergeCell ref="S3:T3"/>
    <mergeCell ref="A1:AA1"/>
    <mergeCell ref="A2:B2"/>
    <mergeCell ref="C2:D2"/>
    <mergeCell ref="E2:O2"/>
    <mergeCell ref="P2:W2"/>
    <mergeCell ref="X2:AE2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303"/>
  <sheetViews>
    <sheetView topLeftCell="A277" zoomScale="80" zoomScaleNormal="80" workbookViewId="0">
      <selection activeCell="I299" sqref="I299"/>
    </sheetView>
  </sheetViews>
  <sheetFormatPr baseColWidth="10" defaultColWidth="11.42578125" defaultRowHeight="14.25" x14ac:dyDescent="0.25"/>
  <cols>
    <col min="1" max="1" width="44.85546875" style="5" customWidth="1"/>
    <col min="2" max="2" width="15.42578125" style="5" customWidth="1"/>
    <col min="3" max="3" width="16" style="5" customWidth="1"/>
    <col min="4" max="4" width="15.42578125" style="5" customWidth="1"/>
    <col min="5" max="5" width="19.7109375" style="5" customWidth="1"/>
    <col min="6" max="6" width="17.28515625" style="5" customWidth="1"/>
    <col min="7" max="7" width="13.7109375" style="5" customWidth="1"/>
    <col min="8" max="8" width="23.5703125" style="5" customWidth="1"/>
    <col min="9" max="9" width="15.42578125" style="5" customWidth="1"/>
    <col min="10" max="10" width="16.42578125" style="5" customWidth="1"/>
    <col min="11" max="11" width="34.5703125" style="5" customWidth="1"/>
    <col min="12" max="12" width="13.42578125" style="5" customWidth="1"/>
    <col min="13" max="13" width="12.28515625" style="5" customWidth="1"/>
    <col min="14" max="14" width="15.42578125" style="5" customWidth="1"/>
    <col min="15" max="15" width="13.85546875" style="5" customWidth="1"/>
    <col min="16" max="16" width="11.5703125" style="5" customWidth="1"/>
    <col min="17" max="17" width="14.42578125" style="5" customWidth="1"/>
    <col min="18" max="18" width="15.42578125" style="5" customWidth="1"/>
    <col min="19" max="16384" width="11.42578125" style="5"/>
  </cols>
  <sheetData>
    <row r="1" spans="1:12" ht="15" thickBot="1" x14ac:dyDescent="0.3"/>
    <row r="2" spans="1:12" ht="15" x14ac:dyDescent="0.25">
      <c r="A2" s="6" t="s">
        <v>259</v>
      </c>
      <c r="B2" s="7"/>
      <c r="C2" s="7"/>
      <c r="D2" s="7"/>
      <c r="E2" s="7"/>
      <c r="F2" s="7"/>
      <c r="G2" s="7"/>
      <c r="H2" s="7"/>
      <c r="I2" s="8"/>
    </row>
    <row r="3" spans="1:12" ht="15" thickBot="1" x14ac:dyDescent="0.3">
      <c r="A3" s="9"/>
      <c r="D3" s="10">
        <v>8.5000000000000006E-2</v>
      </c>
      <c r="E3" s="11">
        <v>0.12</v>
      </c>
      <c r="F3" s="11"/>
      <c r="G3" s="10">
        <v>5.2199999999999998E-3</v>
      </c>
      <c r="H3" s="11">
        <v>0.09</v>
      </c>
      <c r="I3" s="12"/>
    </row>
    <row r="4" spans="1:12" ht="15" x14ac:dyDescent="0.25">
      <c r="A4" s="13" t="s">
        <v>39</v>
      </c>
      <c r="B4" s="14" t="s">
        <v>40</v>
      </c>
      <c r="C4" s="14" t="s">
        <v>41</v>
      </c>
      <c r="D4" s="14" t="s">
        <v>56</v>
      </c>
      <c r="E4" s="14" t="s">
        <v>45</v>
      </c>
      <c r="F4" s="14"/>
      <c r="G4" s="14" t="s">
        <v>44</v>
      </c>
      <c r="H4" s="14" t="s">
        <v>57</v>
      </c>
      <c r="I4" s="15" t="s">
        <v>46</v>
      </c>
    </row>
    <row r="5" spans="1:12" x14ac:dyDescent="0.25">
      <c r="A5" s="16" t="s">
        <v>109</v>
      </c>
      <c r="B5" s="2">
        <v>1333333</v>
      </c>
      <c r="C5" s="2">
        <v>106667</v>
      </c>
      <c r="D5" s="2">
        <f>+B14*$D$3</f>
        <v>170000</v>
      </c>
      <c r="E5" s="2">
        <f>+B14*$E$3</f>
        <v>240000</v>
      </c>
      <c r="F5" s="2"/>
      <c r="G5" s="2">
        <f>+B14*$G$3</f>
        <v>10440</v>
      </c>
      <c r="H5" s="2">
        <f>+B14*$H$3</f>
        <v>180000</v>
      </c>
      <c r="I5" s="17">
        <f>+B5+C5+D5+E5+G5+H5</f>
        <v>2040440</v>
      </c>
    </row>
    <row r="6" spans="1:12" x14ac:dyDescent="0.25">
      <c r="A6" s="16" t="s">
        <v>67</v>
      </c>
      <c r="B6" s="2">
        <v>2000000</v>
      </c>
      <c r="C6" s="2">
        <v>0</v>
      </c>
      <c r="D6" s="2">
        <f t="shared" ref="D6:D7" si="0">+B15*$D$3</f>
        <v>255000.00000000003</v>
      </c>
      <c r="E6" s="2">
        <f t="shared" ref="E6:E7" si="1">+B15*$E$3</f>
        <v>360000</v>
      </c>
      <c r="F6" s="2"/>
      <c r="G6" s="2">
        <f t="shared" ref="G6:G7" si="2">+B15*$G$3</f>
        <v>15660</v>
      </c>
      <c r="H6" s="2">
        <f t="shared" ref="H6:H7" si="3">+B15*$H$3</f>
        <v>270000</v>
      </c>
      <c r="I6" s="17">
        <f t="shared" ref="I6:I8" si="4">+B6+C6+D6+E6+G6+H6</f>
        <v>2900660</v>
      </c>
    </row>
    <row r="7" spans="1:12" x14ac:dyDescent="0.25">
      <c r="A7" s="16" t="s">
        <v>74</v>
      </c>
      <c r="B7" s="2">
        <v>1333333</v>
      </c>
      <c r="C7" s="2">
        <v>106667</v>
      </c>
      <c r="D7" s="2">
        <f t="shared" si="0"/>
        <v>170000</v>
      </c>
      <c r="E7" s="2">
        <f t="shared" si="1"/>
        <v>240000</v>
      </c>
      <c r="F7" s="2"/>
      <c r="G7" s="2">
        <f t="shared" si="2"/>
        <v>10440</v>
      </c>
      <c r="H7" s="2">
        <f t="shared" si="3"/>
        <v>180000</v>
      </c>
      <c r="I7" s="17">
        <f t="shared" si="4"/>
        <v>2040440</v>
      </c>
    </row>
    <row r="8" spans="1:12" x14ac:dyDescent="0.25">
      <c r="A8" s="16" t="s">
        <v>262</v>
      </c>
      <c r="B8" s="2"/>
      <c r="C8" s="2"/>
      <c r="D8" s="2"/>
      <c r="E8" s="2"/>
      <c r="F8" s="2"/>
      <c r="G8" s="2">
        <v>6260</v>
      </c>
      <c r="H8" s="2"/>
      <c r="I8" s="17">
        <f t="shared" si="4"/>
        <v>6260</v>
      </c>
    </row>
    <row r="9" spans="1:12" ht="15" x14ac:dyDescent="0.25">
      <c r="A9" s="32" t="s">
        <v>60</v>
      </c>
      <c r="B9" s="18">
        <f>SUM(B5:B7)</f>
        <v>4666666</v>
      </c>
      <c r="C9" s="18">
        <f>SUM(C5:C7)</f>
        <v>213334</v>
      </c>
      <c r="D9" s="18">
        <f>SUM(D5:D7)</f>
        <v>595000</v>
      </c>
      <c r="E9" s="18">
        <f>SUM(E5:E7)</f>
        <v>840000</v>
      </c>
      <c r="F9" s="18"/>
      <c r="G9" s="18">
        <f>SUM(G5:G8)</f>
        <v>42800</v>
      </c>
      <c r="H9" s="18">
        <f>SUM(H5:H7)</f>
        <v>630000</v>
      </c>
      <c r="I9" s="18">
        <f>SUM(I5:I8)</f>
        <v>6987800</v>
      </c>
    </row>
    <row r="10" spans="1:12" x14ac:dyDescent="0.25">
      <c r="A10" s="9"/>
      <c r="B10" s="33"/>
      <c r="C10" s="33"/>
      <c r="D10" s="33"/>
      <c r="E10" s="33"/>
      <c r="F10" s="33"/>
      <c r="G10" s="33"/>
      <c r="H10" s="33"/>
      <c r="I10" s="34"/>
    </row>
    <row r="11" spans="1:12" x14ac:dyDescent="0.25">
      <c r="A11" s="9" t="s">
        <v>62</v>
      </c>
      <c r="I11" s="12"/>
    </row>
    <row r="12" spans="1:12" x14ac:dyDescent="0.25">
      <c r="A12" s="9"/>
      <c r="D12" s="19">
        <v>8.3299999999999999E-2</v>
      </c>
      <c r="E12" s="19">
        <v>8.3299999999999999E-2</v>
      </c>
      <c r="F12" s="19"/>
      <c r="G12" s="20">
        <v>0.12</v>
      </c>
      <c r="H12" s="19">
        <v>4.1700000000000001E-2</v>
      </c>
      <c r="I12" s="12"/>
      <c r="L12" s="35"/>
    </row>
    <row r="13" spans="1:12" ht="15" x14ac:dyDescent="0.25">
      <c r="A13" s="21" t="s">
        <v>39</v>
      </c>
      <c r="B13" s="3" t="s">
        <v>40</v>
      </c>
      <c r="C13" s="3" t="s">
        <v>41</v>
      </c>
      <c r="D13" s="3" t="s">
        <v>58</v>
      </c>
      <c r="E13" s="3" t="s">
        <v>42</v>
      </c>
      <c r="F13" s="3"/>
      <c r="G13" s="3" t="s">
        <v>59</v>
      </c>
      <c r="H13" s="3" t="s">
        <v>43</v>
      </c>
      <c r="I13" s="4" t="s">
        <v>46</v>
      </c>
      <c r="K13" s="22"/>
    </row>
    <row r="14" spans="1:12" x14ac:dyDescent="0.25">
      <c r="A14" s="16" t="s">
        <v>109</v>
      </c>
      <c r="B14" s="2">
        <v>2000000</v>
      </c>
      <c r="C14" s="2">
        <v>106667</v>
      </c>
      <c r="D14" s="2">
        <v>179928</v>
      </c>
      <c r="E14" s="2">
        <v>179928</v>
      </c>
      <c r="F14" s="2"/>
      <c r="G14" s="2">
        <v>21600</v>
      </c>
      <c r="H14" s="2">
        <f>+B14*$H$12</f>
        <v>83400</v>
      </c>
      <c r="I14" s="17">
        <f>+D14+E14+G14+H14</f>
        <v>464856</v>
      </c>
    </row>
    <row r="15" spans="1:12" x14ac:dyDescent="0.25">
      <c r="A15" s="16" t="s">
        <v>67</v>
      </c>
      <c r="B15" s="2">
        <v>3000000</v>
      </c>
      <c r="C15" s="2">
        <v>0</v>
      </c>
      <c r="D15" s="2">
        <v>249900</v>
      </c>
      <c r="E15" s="2">
        <f>+(B15+C15)*$E$12</f>
        <v>249900</v>
      </c>
      <c r="F15" s="2"/>
      <c r="G15" s="2">
        <v>30000</v>
      </c>
      <c r="H15" s="2">
        <f>+B15*$H$12</f>
        <v>125100</v>
      </c>
      <c r="I15" s="17">
        <f>+D15+E15+G15+H15</f>
        <v>654900</v>
      </c>
      <c r="K15" s="22"/>
    </row>
    <row r="16" spans="1:12" x14ac:dyDescent="0.25">
      <c r="A16" s="16" t="s">
        <v>74</v>
      </c>
      <c r="B16" s="2">
        <v>2000000</v>
      </c>
      <c r="C16" s="2">
        <v>106667</v>
      </c>
      <c r="D16" s="2">
        <v>179928</v>
      </c>
      <c r="E16" s="2">
        <v>179928</v>
      </c>
      <c r="F16" s="2"/>
      <c r="G16" s="2">
        <v>21600</v>
      </c>
      <c r="H16" s="2">
        <f>+B16*$H$12</f>
        <v>83400</v>
      </c>
      <c r="I16" s="17">
        <f>+D16+E16+G16+H16</f>
        <v>464856</v>
      </c>
    </row>
    <row r="17" spans="1:11" ht="15" x14ac:dyDescent="0.25">
      <c r="A17" s="32" t="s">
        <v>61</v>
      </c>
      <c r="B17" s="1"/>
      <c r="C17" s="1"/>
      <c r="D17" s="18">
        <f>SUM(D14:D16)</f>
        <v>609756</v>
      </c>
      <c r="E17" s="18">
        <f>SUM(E14:E16)</f>
        <v>609756</v>
      </c>
      <c r="F17" s="18"/>
      <c r="G17" s="18">
        <f>SUM(G14:G16)</f>
        <v>73200</v>
      </c>
      <c r="H17" s="18">
        <f>SUM(H14:H16)</f>
        <v>291900</v>
      </c>
      <c r="I17" s="18">
        <f>SUM(I14:I16)</f>
        <v>1584612</v>
      </c>
      <c r="K17" s="22"/>
    </row>
    <row r="18" spans="1:11" ht="15" x14ac:dyDescent="0.25">
      <c r="A18" s="9"/>
      <c r="I18" s="23">
        <f>+I9+I17</f>
        <v>8572412</v>
      </c>
    </row>
    <row r="19" spans="1:11" ht="15" x14ac:dyDescent="0.25">
      <c r="A19" s="9"/>
      <c r="I19" s="24"/>
    </row>
    <row r="20" spans="1:11" ht="15" x14ac:dyDescent="0.25">
      <c r="A20" s="25" t="s">
        <v>37</v>
      </c>
      <c r="B20" s="26" t="s">
        <v>47</v>
      </c>
      <c r="C20" s="26"/>
      <c r="D20" s="27" t="s">
        <v>46</v>
      </c>
      <c r="I20" s="12"/>
    </row>
    <row r="21" spans="1:11" x14ac:dyDescent="0.25">
      <c r="A21" s="16" t="s">
        <v>110</v>
      </c>
      <c r="B21" s="2">
        <v>870000</v>
      </c>
      <c r="C21" s="2"/>
      <c r="D21" s="2">
        <f>+B21+C21</f>
        <v>870000</v>
      </c>
      <c r="I21" s="12"/>
    </row>
    <row r="22" spans="1:11" x14ac:dyDescent="0.25">
      <c r="A22" s="163" t="s">
        <v>116</v>
      </c>
      <c r="B22" s="164">
        <v>2827000</v>
      </c>
      <c r="C22" s="164"/>
      <c r="D22" s="2">
        <f>+B22+C22</f>
        <v>2827000</v>
      </c>
      <c r="I22" s="12"/>
    </row>
    <row r="23" spans="1:11" ht="15.75" thickBot="1" x14ac:dyDescent="0.3">
      <c r="A23" s="28" t="s">
        <v>51</v>
      </c>
      <c r="B23" s="29">
        <v>1809600</v>
      </c>
      <c r="C23" s="29"/>
      <c r="D23" s="29">
        <f>+B23+C23</f>
        <v>1809600</v>
      </c>
      <c r="E23" s="30"/>
      <c r="F23" s="30"/>
      <c r="G23" s="30"/>
      <c r="H23" s="30"/>
      <c r="I23" s="31">
        <f>+I18+D21+D22+D23</f>
        <v>14079012</v>
      </c>
    </row>
    <row r="25" spans="1:11" ht="15" thickBot="1" x14ac:dyDescent="0.3"/>
    <row r="26" spans="1:11" ht="15" x14ac:dyDescent="0.25">
      <c r="A26" s="6" t="s">
        <v>260</v>
      </c>
      <c r="B26" s="7"/>
      <c r="C26" s="7"/>
      <c r="D26" s="7"/>
      <c r="E26" s="7"/>
      <c r="F26" s="7"/>
      <c r="G26" s="7"/>
      <c r="H26" s="7"/>
      <c r="I26" s="8"/>
    </row>
    <row r="27" spans="1:11" ht="15" thickBot="1" x14ac:dyDescent="0.3">
      <c r="A27" s="9"/>
      <c r="D27" s="10">
        <v>8.5000000000000006E-2</v>
      </c>
      <c r="E27" s="11">
        <v>0.12</v>
      </c>
      <c r="F27" s="11"/>
      <c r="G27" s="10">
        <v>5.2199999999999998E-3</v>
      </c>
      <c r="H27" s="11">
        <v>0.09</v>
      </c>
      <c r="I27" s="12"/>
    </row>
    <row r="28" spans="1:11" ht="15" x14ac:dyDescent="0.25">
      <c r="A28" s="13" t="s">
        <v>39</v>
      </c>
      <c r="B28" s="14" t="s">
        <v>40</v>
      </c>
      <c r="C28" s="14" t="s">
        <v>41</v>
      </c>
      <c r="D28" s="14" t="s">
        <v>56</v>
      </c>
      <c r="E28" s="14" t="s">
        <v>45</v>
      </c>
      <c r="F28" s="14"/>
      <c r="G28" s="14" t="s">
        <v>44</v>
      </c>
      <c r="H28" s="14" t="s">
        <v>57</v>
      </c>
      <c r="I28" s="15" t="s">
        <v>46</v>
      </c>
    </row>
    <row r="29" spans="1:11" x14ac:dyDescent="0.25">
      <c r="A29" s="16" t="s">
        <v>109</v>
      </c>
      <c r="B29" s="2">
        <v>2000000</v>
      </c>
      <c r="C29" s="2">
        <v>162000</v>
      </c>
      <c r="D29" s="2">
        <f>+B29*$D$27</f>
        <v>170000</v>
      </c>
      <c r="E29" s="2">
        <f>+B29*$E$27</f>
        <v>240000</v>
      </c>
      <c r="F29" s="2"/>
      <c r="G29" s="2">
        <f>+B29*$G$27</f>
        <v>10440</v>
      </c>
      <c r="H29" s="2">
        <f>+B29*$H$27</f>
        <v>180000</v>
      </c>
      <c r="I29" s="17">
        <f>+B29+C29+D29+E29+G29+H29</f>
        <v>2762440</v>
      </c>
    </row>
    <row r="30" spans="1:11" x14ac:dyDescent="0.25">
      <c r="A30" s="16" t="s">
        <v>67</v>
      </c>
      <c r="B30" s="2">
        <v>3000000</v>
      </c>
      <c r="C30" s="2">
        <v>0</v>
      </c>
      <c r="D30" s="2">
        <f t="shared" ref="D30:D32" si="5">+B30*$D$27</f>
        <v>255000.00000000003</v>
      </c>
      <c r="E30" s="2">
        <f t="shared" ref="E30:E32" si="6">+B30*$E$27</f>
        <v>360000</v>
      </c>
      <c r="F30" s="2"/>
      <c r="G30" s="2">
        <f t="shared" ref="G30:G32" si="7">+B30*$G$27</f>
        <v>15660</v>
      </c>
      <c r="H30" s="2">
        <f t="shared" ref="H30:H32" si="8">+B30*$H$27</f>
        <v>270000</v>
      </c>
      <c r="I30" s="17">
        <f t="shared" ref="I30:I33" si="9">+B30+C30+D30+E30+G30+H30</f>
        <v>3900660</v>
      </c>
    </row>
    <row r="31" spans="1:11" x14ac:dyDescent="0.25">
      <c r="A31" s="16" t="s">
        <v>266</v>
      </c>
      <c r="B31" s="2">
        <v>1300000</v>
      </c>
      <c r="C31" s="2">
        <v>162000</v>
      </c>
      <c r="D31" s="2">
        <f t="shared" si="5"/>
        <v>110500.00000000001</v>
      </c>
      <c r="E31" s="2">
        <f t="shared" si="6"/>
        <v>156000</v>
      </c>
      <c r="F31" s="2"/>
      <c r="G31" s="2">
        <f t="shared" si="7"/>
        <v>6786</v>
      </c>
      <c r="H31" s="2">
        <f t="shared" si="8"/>
        <v>117000</v>
      </c>
      <c r="I31" s="17">
        <f t="shared" si="9"/>
        <v>1852286</v>
      </c>
    </row>
    <row r="32" spans="1:11" x14ac:dyDescent="0.25">
      <c r="A32" s="16" t="s">
        <v>74</v>
      </c>
      <c r="B32" s="2">
        <v>2000000</v>
      </c>
      <c r="C32" s="2">
        <v>162000</v>
      </c>
      <c r="D32" s="2">
        <f t="shared" si="5"/>
        <v>170000</v>
      </c>
      <c r="E32" s="2">
        <f t="shared" si="6"/>
        <v>240000</v>
      </c>
      <c r="F32" s="2"/>
      <c r="G32" s="2">
        <f t="shared" si="7"/>
        <v>10440</v>
      </c>
      <c r="H32" s="2">
        <f t="shared" si="8"/>
        <v>180000</v>
      </c>
      <c r="I32" s="17">
        <f t="shared" si="9"/>
        <v>2762440</v>
      </c>
    </row>
    <row r="33" spans="1:9" x14ac:dyDescent="0.25">
      <c r="A33" s="16" t="s">
        <v>262</v>
      </c>
      <c r="B33" s="2"/>
      <c r="C33" s="2"/>
      <c r="D33" s="2"/>
      <c r="E33" s="2"/>
      <c r="F33" s="2"/>
      <c r="G33" s="2"/>
      <c r="H33" s="2"/>
      <c r="I33" s="17">
        <f t="shared" si="9"/>
        <v>0</v>
      </c>
    </row>
    <row r="34" spans="1:9" ht="15" x14ac:dyDescent="0.25">
      <c r="A34" s="32" t="s">
        <v>60</v>
      </c>
      <c r="B34" s="18">
        <f>SUM(B29:B32)</f>
        <v>8300000</v>
      </c>
      <c r="C34" s="18">
        <f>SUM(C29:C32)</f>
        <v>486000</v>
      </c>
      <c r="D34" s="18">
        <f>SUM(D29:D32)</f>
        <v>705500</v>
      </c>
      <c r="E34" s="18">
        <f>SUM(E29:E32)</f>
        <v>996000</v>
      </c>
      <c r="F34" s="18"/>
      <c r="G34" s="18">
        <f>SUM(G29:G33)</f>
        <v>43326</v>
      </c>
      <c r="H34" s="18">
        <f>SUM(H29:H33)</f>
        <v>747000</v>
      </c>
      <c r="I34" s="18">
        <f>SUM(I29:I33)</f>
        <v>11277826</v>
      </c>
    </row>
    <row r="35" spans="1:9" x14ac:dyDescent="0.25">
      <c r="A35" s="9"/>
      <c r="B35" s="33"/>
      <c r="C35" s="33"/>
      <c r="D35" s="33"/>
      <c r="E35" s="33"/>
      <c r="F35" s="33"/>
      <c r="G35" s="33"/>
      <c r="H35" s="33"/>
      <c r="I35" s="34"/>
    </row>
    <row r="36" spans="1:9" x14ac:dyDescent="0.25">
      <c r="A36" s="9" t="s">
        <v>62</v>
      </c>
      <c r="I36" s="12"/>
    </row>
    <row r="37" spans="1:9" x14ac:dyDescent="0.25">
      <c r="A37" s="9"/>
      <c r="D37" s="19">
        <v>8.3299999999999999E-2</v>
      </c>
      <c r="E37" s="19">
        <v>8.3299999999999999E-2</v>
      </c>
      <c r="F37" s="19"/>
      <c r="G37" s="20">
        <v>0.01</v>
      </c>
      <c r="H37" s="19">
        <v>4.1700000000000001E-2</v>
      </c>
      <c r="I37" s="12"/>
    </row>
    <row r="38" spans="1:9" ht="15" x14ac:dyDescent="0.25">
      <c r="A38" s="21" t="s">
        <v>39</v>
      </c>
      <c r="B38" s="3" t="s">
        <v>40</v>
      </c>
      <c r="C38" s="3" t="s">
        <v>41</v>
      </c>
      <c r="D38" s="3" t="s">
        <v>58</v>
      </c>
      <c r="E38" s="3" t="s">
        <v>42</v>
      </c>
      <c r="F38" s="3"/>
      <c r="G38" s="3" t="s">
        <v>59</v>
      </c>
      <c r="H38" s="3" t="s">
        <v>43</v>
      </c>
      <c r="I38" s="4" t="s">
        <v>46</v>
      </c>
    </row>
    <row r="39" spans="1:9" x14ac:dyDescent="0.25">
      <c r="A39" s="16" t="s">
        <v>109</v>
      </c>
      <c r="B39" s="2">
        <v>2000000</v>
      </c>
      <c r="C39" s="2">
        <v>162000</v>
      </c>
      <c r="D39" s="2">
        <f>+(B39+C39)*$D$37</f>
        <v>180094.6</v>
      </c>
      <c r="E39" s="2">
        <f>+(B39+C39)*$E$37</f>
        <v>180094.6</v>
      </c>
      <c r="F39" s="2"/>
      <c r="G39" s="2">
        <f>+(B39+C39)*$G$37</f>
        <v>21620</v>
      </c>
      <c r="H39" s="2">
        <f>+B39*$H$12</f>
        <v>83400</v>
      </c>
      <c r="I39" s="17">
        <f>+D39+E39+G39+H39</f>
        <v>465209.2</v>
      </c>
    </row>
    <row r="40" spans="1:9" x14ac:dyDescent="0.25">
      <c r="A40" s="16" t="s">
        <v>67</v>
      </c>
      <c r="B40" s="2">
        <v>3000000</v>
      </c>
      <c r="C40" s="2">
        <v>0</v>
      </c>
      <c r="D40" s="2">
        <f t="shared" ref="D40:D42" si="10">+(B40+C40)*$D$37</f>
        <v>249900</v>
      </c>
      <c r="E40" s="2">
        <f t="shared" ref="E40:E42" si="11">+(B40+C40)*$E$37</f>
        <v>249900</v>
      </c>
      <c r="F40" s="2"/>
      <c r="G40" s="2">
        <f t="shared" ref="G40:G42" si="12">+(B40+C40)*$G$37</f>
        <v>30000</v>
      </c>
      <c r="H40" s="2">
        <f t="shared" ref="H40:H42" si="13">+B40*$H$12</f>
        <v>125100</v>
      </c>
      <c r="I40" s="17">
        <f t="shared" ref="I40:I42" si="14">+D40+E40+G40+H40</f>
        <v>654900</v>
      </c>
    </row>
    <row r="41" spans="1:9" x14ac:dyDescent="0.25">
      <c r="A41" s="16" t="s">
        <v>266</v>
      </c>
      <c r="B41" s="2">
        <v>1300000</v>
      </c>
      <c r="C41" s="2">
        <v>162000</v>
      </c>
      <c r="D41" s="2">
        <v>121342</v>
      </c>
      <c r="E41" s="2">
        <v>121342</v>
      </c>
      <c r="F41" s="2"/>
      <c r="G41" s="2">
        <f t="shared" si="12"/>
        <v>14620</v>
      </c>
      <c r="H41" s="2">
        <f t="shared" si="13"/>
        <v>54210</v>
      </c>
      <c r="I41" s="17">
        <f t="shared" si="14"/>
        <v>311514</v>
      </c>
    </row>
    <row r="42" spans="1:9" x14ac:dyDescent="0.25">
      <c r="A42" s="16" t="s">
        <v>74</v>
      </c>
      <c r="B42" s="2">
        <v>2000000</v>
      </c>
      <c r="C42" s="2">
        <v>162000</v>
      </c>
      <c r="D42" s="2">
        <f t="shared" si="10"/>
        <v>180094.6</v>
      </c>
      <c r="E42" s="2">
        <f t="shared" si="11"/>
        <v>180094.6</v>
      </c>
      <c r="F42" s="2"/>
      <c r="G42" s="2">
        <f t="shared" si="12"/>
        <v>21620</v>
      </c>
      <c r="H42" s="2">
        <f t="shared" si="13"/>
        <v>83400</v>
      </c>
      <c r="I42" s="17">
        <f t="shared" si="14"/>
        <v>465209.2</v>
      </c>
    </row>
    <row r="43" spans="1:9" ht="15" x14ac:dyDescent="0.25">
      <c r="A43" s="32" t="s">
        <v>61</v>
      </c>
      <c r="B43" s="1"/>
      <c r="C43" s="1"/>
      <c r="D43" s="18">
        <f>SUM(D39:D42)</f>
        <v>731431.2</v>
      </c>
      <c r="E43" s="18">
        <f>SUM(E39:E42)</f>
        <v>731431.2</v>
      </c>
      <c r="F43" s="18"/>
      <c r="G43" s="18">
        <f>SUM(G39:G42)</f>
        <v>87860</v>
      </c>
      <c r="H43" s="18">
        <f>SUM(H39:H42)</f>
        <v>346110</v>
      </c>
      <c r="I43" s="18">
        <f>SUM(I39:I42)</f>
        <v>1896832.4</v>
      </c>
    </row>
    <row r="44" spans="1:9" ht="15" x14ac:dyDescent="0.25">
      <c r="A44" s="9"/>
      <c r="I44" s="23">
        <f>+I34+I43</f>
        <v>13174658.4</v>
      </c>
    </row>
    <row r="45" spans="1:9" ht="15" x14ac:dyDescent="0.25">
      <c r="A45" s="9"/>
      <c r="H45" s="5" t="s">
        <v>117</v>
      </c>
      <c r="I45" s="24">
        <v>137815</v>
      </c>
    </row>
    <row r="46" spans="1:9" ht="15" x14ac:dyDescent="0.25">
      <c r="A46" s="25" t="s">
        <v>37</v>
      </c>
      <c r="B46" s="26" t="s">
        <v>47</v>
      </c>
      <c r="C46" s="26"/>
      <c r="D46" s="27" t="s">
        <v>46</v>
      </c>
      <c r="H46" s="5" t="s">
        <v>267</v>
      </c>
      <c r="I46" s="24">
        <v>58800</v>
      </c>
    </row>
    <row r="47" spans="1:9" x14ac:dyDescent="0.25">
      <c r="A47" s="16" t="s">
        <v>110</v>
      </c>
      <c r="B47" s="2">
        <v>870000</v>
      </c>
      <c r="C47" s="2"/>
      <c r="D47" s="2">
        <f>+B47+C47</f>
        <v>870000</v>
      </c>
      <c r="I47" s="12"/>
    </row>
    <row r="48" spans="1:9" x14ac:dyDescent="0.25">
      <c r="A48" s="163" t="s">
        <v>116</v>
      </c>
      <c r="B48" s="164">
        <v>4240000</v>
      </c>
      <c r="C48" s="164"/>
      <c r="D48" s="2">
        <f>+B48+C48</f>
        <v>4240000</v>
      </c>
      <c r="I48" s="12"/>
    </row>
    <row r="49" spans="1:11" ht="15.75" thickBot="1" x14ac:dyDescent="0.3">
      <c r="A49" s="28" t="s">
        <v>51</v>
      </c>
      <c r="B49" s="29">
        <v>4900000</v>
      </c>
      <c r="C49" s="29"/>
      <c r="D49" s="29">
        <f>+B49+C49</f>
        <v>4900000</v>
      </c>
      <c r="E49" s="30"/>
      <c r="F49" s="30"/>
      <c r="G49" s="30"/>
      <c r="H49" s="30"/>
      <c r="I49" s="169">
        <f>+I44+I45+I46+D47+D48+D49</f>
        <v>23381273.399999999</v>
      </c>
      <c r="K49" s="22"/>
    </row>
    <row r="51" spans="1:11" ht="15" thickBot="1" x14ac:dyDescent="0.3"/>
    <row r="52" spans="1:11" ht="15" x14ac:dyDescent="0.25">
      <c r="A52" s="6" t="s">
        <v>261</v>
      </c>
      <c r="B52" s="7"/>
      <c r="C52" s="7"/>
      <c r="D52" s="7"/>
      <c r="E52" s="7"/>
      <c r="F52" s="7"/>
      <c r="G52" s="7"/>
      <c r="H52" s="7"/>
      <c r="I52" s="8"/>
    </row>
    <row r="53" spans="1:11" ht="15" thickBot="1" x14ac:dyDescent="0.3">
      <c r="A53" s="9"/>
      <c r="D53" s="10">
        <v>8.5000000000000006E-2</v>
      </c>
      <c r="E53" s="11">
        <v>0.12</v>
      </c>
      <c r="F53" s="11"/>
      <c r="G53" s="10">
        <v>5.2199999999999998E-3</v>
      </c>
      <c r="H53" s="11">
        <v>0.09</v>
      </c>
      <c r="I53" s="12"/>
    </row>
    <row r="54" spans="1:11" ht="15" x14ac:dyDescent="0.25">
      <c r="A54" s="13" t="s">
        <v>39</v>
      </c>
      <c r="B54" s="14" t="s">
        <v>40</v>
      </c>
      <c r="C54" s="14" t="s">
        <v>41</v>
      </c>
      <c r="D54" s="14" t="s">
        <v>56</v>
      </c>
      <c r="E54" s="14" t="s">
        <v>45</v>
      </c>
      <c r="F54" s="14"/>
      <c r="G54" s="14" t="s">
        <v>44</v>
      </c>
      <c r="H54" s="14" t="s">
        <v>57</v>
      </c>
      <c r="I54" s="15" t="s">
        <v>46</v>
      </c>
    </row>
    <row r="55" spans="1:11" x14ac:dyDescent="0.25">
      <c r="A55" s="16" t="s">
        <v>109</v>
      </c>
      <c r="B55" s="2">
        <v>2000000</v>
      </c>
      <c r="C55" s="2">
        <v>162000</v>
      </c>
      <c r="D55" s="2">
        <f>+B55*$D$27</f>
        <v>170000</v>
      </c>
      <c r="E55" s="2">
        <f>+B55*$E$27</f>
        <v>240000</v>
      </c>
      <c r="F55" s="2"/>
      <c r="G55" s="2">
        <f>+B55*$G$27</f>
        <v>10440</v>
      </c>
      <c r="H55" s="2">
        <f>+B55*$H$27</f>
        <v>180000</v>
      </c>
      <c r="I55" s="17">
        <f>+B55+C55+D55+E55+G55+H55</f>
        <v>2762440</v>
      </c>
    </row>
    <row r="56" spans="1:11" x14ac:dyDescent="0.25">
      <c r="A56" s="16" t="s">
        <v>67</v>
      </c>
      <c r="B56" s="2">
        <v>3000000</v>
      </c>
      <c r="C56" s="2">
        <v>0</v>
      </c>
      <c r="D56" s="2">
        <f t="shared" ref="D56:D58" si="15">+B56*$D$27</f>
        <v>255000.00000000003</v>
      </c>
      <c r="E56" s="2">
        <f t="shared" ref="E56:E58" si="16">+B56*$E$27</f>
        <v>360000</v>
      </c>
      <c r="F56" s="2"/>
      <c r="G56" s="2">
        <f t="shared" ref="G56:G58" si="17">+B56*$G$27</f>
        <v>15660</v>
      </c>
      <c r="H56" s="2">
        <f t="shared" ref="H56:H58" si="18">+B56*$H$27</f>
        <v>270000</v>
      </c>
      <c r="I56" s="17">
        <f t="shared" ref="I56:I59" si="19">+B56+C56+D56+E56+G56+H56</f>
        <v>3900660</v>
      </c>
    </row>
    <row r="57" spans="1:11" x14ac:dyDescent="0.25">
      <c r="A57" s="16" t="s">
        <v>266</v>
      </c>
      <c r="B57" s="2">
        <v>1300000</v>
      </c>
      <c r="C57" s="2">
        <v>162000</v>
      </c>
      <c r="D57" s="2">
        <f t="shared" si="15"/>
        <v>110500.00000000001</v>
      </c>
      <c r="E57" s="2">
        <f t="shared" si="16"/>
        <v>156000</v>
      </c>
      <c r="F57" s="2"/>
      <c r="G57" s="2">
        <f t="shared" si="17"/>
        <v>6786</v>
      </c>
      <c r="H57" s="2">
        <f t="shared" si="18"/>
        <v>117000</v>
      </c>
      <c r="I57" s="17">
        <f t="shared" si="19"/>
        <v>1852286</v>
      </c>
    </row>
    <row r="58" spans="1:11" x14ac:dyDescent="0.25">
      <c r="A58" s="16" t="s">
        <v>74</v>
      </c>
      <c r="B58" s="2">
        <v>2000000</v>
      </c>
      <c r="C58" s="2">
        <v>162000</v>
      </c>
      <c r="D58" s="2">
        <f t="shared" si="15"/>
        <v>170000</v>
      </c>
      <c r="E58" s="2">
        <f t="shared" si="16"/>
        <v>240000</v>
      </c>
      <c r="F58" s="2"/>
      <c r="G58" s="2">
        <f t="shared" si="17"/>
        <v>10440</v>
      </c>
      <c r="H58" s="2">
        <f t="shared" si="18"/>
        <v>180000</v>
      </c>
      <c r="I58" s="17">
        <f t="shared" si="19"/>
        <v>2762440</v>
      </c>
    </row>
    <row r="59" spans="1:11" x14ac:dyDescent="0.25">
      <c r="A59" s="16" t="s">
        <v>262</v>
      </c>
      <c r="B59" s="2"/>
      <c r="C59" s="2"/>
      <c r="D59" s="2"/>
      <c r="E59" s="2"/>
      <c r="F59" s="2"/>
      <c r="G59" s="2">
        <v>13774</v>
      </c>
      <c r="H59" s="2"/>
      <c r="I59" s="17">
        <f t="shared" si="19"/>
        <v>13774</v>
      </c>
    </row>
    <row r="60" spans="1:11" ht="15" x14ac:dyDescent="0.25">
      <c r="A60" s="32" t="s">
        <v>60</v>
      </c>
      <c r="B60" s="18">
        <f>SUM(B55:B58)</f>
        <v>8300000</v>
      </c>
      <c r="C60" s="18">
        <f>SUM(C55:C58)</f>
        <v>486000</v>
      </c>
      <c r="D60" s="18">
        <f>SUM(D55:D58)</f>
        <v>705500</v>
      </c>
      <c r="E60" s="18">
        <f>SUM(E55:E58)</f>
        <v>996000</v>
      </c>
      <c r="F60" s="18"/>
      <c r="G60" s="18">
        <f>SUM(G55:G59)</f>
        <v>57100</v>
      </c>
      <c r="H60" s="18">
        <f>SUM(H55:H59)</f>
        <v>747000</v>
      </c>
      <c r="I60" s="18">
        <f>SUM(I55:I59)</f>
        <v>11291600</v>
      </c>
    </row>
    <row r="61" spans="1:11" x14ac:dyDescent="0.25">
      <c r="A61" s="9"/>
      <c r="B61" s="33"/>
      <c r="C61" s="33"/>
      <c r="D61" s="33"/>
      <c r="E61" s="33"/>
      <c r="F61" s="33"/>
      <c r="G61" s="33"/>
      <c r="H61" s="33"/>
      <c r="I61" s="34"/>
    </row>
    <row r="62" spans="1:11" x14ac:dyDescent="0.25">
      <c r="A62" s="9" t="s">
        <v>62</v>
      </c>
      <c r="I62" s="12"/>
    </row>
    <row r="63" spans="1:11" x14ac:dyDescent="0.25">
      <c r="A63" s="9"/>
      <c r="D63" s="19">
        <v>8.3299999999999999E-2</v>
      </c>
      <c r="E63" s="19">
        <v>8.3299999999999999E-2</v>
      </c>
      <c r="F63" s="19"/>
      <c r="G63" s="20">
        <v>0.01</v>
      </c>
      <c r="H63" s="19">
        <v>4.1700000000000001E-2</v>
      </c>
      <c r="I63" s="12"/>
    </row>
    <row r="64" spans="1:11" ht="15" x14ac:dyDescent="0.25">
      <c r="A64" s="21" t="s">
        <v>39</v>
      </c>
      <c r="B64" s="3" t="s">
        <v>40</v>
      </c>
      <c r="C64" s="3" t="s">
        <v>41</v>
      </c>
      <c r="D64" s="3" t="s">
        <v>58</v>
      </c>
      <c r="E64" s="3" t="s">
        <v>42</v>
      </c>
      <c r="F64" s="3"/>
      <c r="G64" s="3" t="s">
        <v>59</v>
      </c>
      <c r="H64" s="3" t="s">
        <v>43</v>
      </c>
      <c r="I64" s="4" t="s">
        <v>46</v>
      </c>
    </row>
    <row r="65" spans="1:15" x14ac:dyDescent="0.25">
      <c r="A65" s="16" t="s">
        <v>109</v>
      </c>
      <c r="B65" s="2">
        <v>2000000</v>
      </c>
      <c r="C65" s="2">
        <v>162000</v>
      </c>
      <c r="D65" s="2">
        <f>+(B65+C65)*$D$37</f>
        <v>180094.6</v>
      </c>
      <c r="E65" s="2">
        <f>+(B65+C65)*$E$37</f>
        <v>180094.6</v>
      </c>
      <c r="F65" s="2"/>
      <c r="G65" s="2">
        <f>+(B65+C65)*$G$37</f>
        <v>21620</v>
      </c>
      <c r="H65" s="2">
        <f>+B65*$H$12</f>
        <v>83400</v>
      </c>
      <c r="I65" s="17">
        <f>+D65+E65+G65+H65</f>
        <v>465209.2</v>
      </c>
    </row>
    <row r="66" spans="1:15" x14ac:dyDescent="0.25">
      <c r="A66" s="16" t="s">
        <v>67</v>
      </c>
      <c r="B66" s="2">
        <v>3000000</v>
      </c>
      <c r="C66" s="2">
        <v>0</v>
      </c>
      <c r="D66" s="2">
        <f t="shared" ref="D66:D68" si="20">+(B66+C66)*$D$37</f>
        <v>249900</v>
      </c>
      <c r="E66" s="2">
        <f t="shared" ref="E66:E68" si="21">+(B66+C66)*$E$37</f>
        <v>249900</v>
      </c>
      <c r="F66" s="2"/>
      <c r="G66" s="2">
        <f t="shared" ref="G66:G67" si="22">+(B66+C66)*$G$37</f>
        <v>30000</v>
      </c>
      <c r="H66" s="2">
        <f t="shared" ref="H66:H68" si="23">+B66*$H$12</f>
        <v>125100</v>
      </c>
      <c r="I66" s="17">
        <f t="shared" ref="I66:I68" si="24">+D66+E66+G66+H66</f>
        <v>654900</v>
      </c>
    </row>
    <row r="67" spans="1:15" x14ac:dyDescent="0.25">
      <c r="A67" s="16" t="s">
        <v>266</v>
      </c>
      <c r="B67" s="2">
        <v>1300000</v>
      </c>
      <c r="C67" s="2">
        <v>162000</v>
      </c>
      <c r="D67" s="2">
        <f t="shared" si="20"/>
        <v>121784.6</v>
      </c>
      <c r="E67" s="2">
        <f t="shared" si="21"/>
        <v>121784.6</v>
      </c>
      <c r="F67" s="2"/>
      <c r="G67" s="2">
        <f t="shared" si="22"/>
        <v>14620</v>
      </c>
      <c r="H67" s="2">
        <f t="shared" si="23"/>
        <v>54210</v>
      </c>
      <c r="I67" s="17">
        <f t="shared" si="24"/>
        <v>312399.2</v>
      </c>
    </row>
    <row r="68" spans="1:15" x14ac:dyDescent="0.25">
      <c r="A68" s="16" t="s">
        <v>74</v>
      </c>
      <c r="B68" s="2">
        <v>2000000</v>
      </c>
      <c r="C68" s="2">
        <v>162000</v>
      </c>
      <c r="D68" s="2">
        <f t="shared" si="20"/>
        <v>180094.6</v>
      </c>
      <c r="E68" s="2">
        <f t="shared" si="21"/>
        <v>180094.6</v>
      </c>
      <c r="F68" s="2"/>
      <c r="G68" s="2">
        <f>+(B68+C68)*$G$37+27936</f>
        <v>49556</v>
      </c>
      <c r="H68" s="2">
        <f t="shared" si="23"/>
        <v>83400</v>
      </c>
      <c r="I68" s="17">
        <f t="shared" si="24"/>
        <v>493145.2</v>
      </c>
    </row>
    <row r="69" spans="1:15" ht="15" x14ac:dyDescent="0.25">
      <c r="A69" s="32" t="s">
        <v>61</v>
      </c>
      <c r="B69" s="1"/>
      <c r="C69" s="1"/>
      <c r="D69" s="18">
        <f>SUM(D65:D68)</f>
        <v>731873.79999999993</v>
      </c>
      <c r="E69" s="18">
        <f>SUM(E65:E68)</f>
        <v>731873.79999999993</v>
      </c>
      <c r="F69" s="18"/>
      <c r="G69" s="18">
        <f>SUM(G65:G68)</f>
        <v>115796</v>
      </c>
      <c r="H69" s="18">
        <f>SUM(H65:H68)</f>
        <v>346110</v>
      </c>
      <c r="I69" s="18">
        <f>SUM(I65:I68)</f>
        <v>1925653.5999999999</v>
      </c>
    </row>
    <row r="70" spans="1:15" ht="15" x14ac:dyDescent="0.25">
      <c r="A70" s="9"/>
      <c r="I70" s="23">
        <f>+I60+I69</f>
        <v>13217253.6</v>
      </c>
    </row>
    <row r="71" spans="1:15" ht="15" x14ac:dyDescent="0.25">
      <c r="A71" s="9"/>
      <c r="H71" s="5" t="s">
        <v>117</v>
      </c>
      <c r="I71" s="24">
        <v>0</v>
      </c>
    </row>
    <row r="72" spans="1:15" ht="15" x14ac:dyDescent="0.25">
      <c r="A72" s="25" t="s">
        <v>37</v>
      </c>
      <c r="B72" s="26" t="s">
        <v>47</v>
      </c>
      <c r="C72" s="26"/>
      <c r="D72" s="27" t="s">
        <v>46</v>
      </c>
      <c r="H72" s="5" t="s">
        <v>267</v>
      </c>
      <c r="I72" s="24">
        <v>0</v>
      </c>
    </row>
    <row r="73" spans="1:15" x14ac:dyDescent="0.25">
      <c r="A73" s="16" t="s">
        <v>110</v>
      </c>
      <c r="B73" s="2">
        <v>1330000</v>
      </c>
      <c r="C73" s="2"/>
      <c r="D73" s="2">
        <f>+B73+C73</f>
        <v>1330000</v>
      </c>
      <c r="I73" s="12"/>
    </row>
    <row r="74" spans="1:15" x14ac:dyDescent="0.25">
      <c r="A74" s="163" t="s">
        <v>116</v>
      </c>
      <c r="B74" s="164">
        <v>4240000</v>
      </c>
      <c r="C74" s="164"/>
      <c r="D74" s="2">
        <f>+B74+C74</f>
        <v>4240000</v>
      </c>
      <c r="I74" s="12"/>
    </row>
    <row r="75" spans="1:15" ht="15.75" thickBot="1" x14ac:dyDescent="0.3">
      <c r="A75" s="28" t="s">
        <v>51</v>
      </c>
      <c r="B75" s="29">
        <v>2000000</v>
      </c>
      <c r="C75" s="29"/>
      <c r="D75" s="29">
        <f>+B75+C75</f>
        <v>2000000</v>
      </c>
      <c r="E75" s="30"/>
      <c r="F75" s="30"/>
      <c r="G75" s="30"/>
      <c r="H75" s="30"/>
      <c r="I75" s="169">
        <f>+I70+I71+I72+D73+D74+D75</f>
        <v>20787253.600000001</v>
      </c>
    </row>
    <row r="76" spans="1:15" ht="15" thickBot="1" x14ac:dyDescent="0.3"/>
    <row r="77" spans="1:15" ht="15" x14ac:dyDescent="0.25">
      <c r="A77" s="6" t="s">
        <v>275</v>
      </c>
      <c r="B77" s="7"/>
      <c r="C77" s="7"/>
      <c r="D77" s="7"/>
      <c r="E77" s="7"/>
      <c r="F77" s="7"/>
      <c r="G77" s="7"/>
      <c r="H77" s="7"/>
      <c r="I77" s="8"/>
    </row>
    <row r="78" spans="1:15" ht="15" thickBot="1" x14ac:dyDescent="0.3">
      <c r="A78" s="9"/>
      <c r="D78" s="10">
        <v>8.5000000000000006E-2</v>
      </c>
      <c r="E78" s="11">
        <v>0.12</v>
      </c>
      <c r="F78" s="11"/>
      <c r="G78" s="10">
        <v>5.2199999999999998E-3</v>
      </c>
      <c r="H78" s="11">
        <v>0.09</v>
      </c>
      <c r="I78" s="12"/>
    </row>
    <row r="79" spans="1:15" ht="15" x14ac:dyDescent="0.25">
      <c r="A79" s="13" t="s">
        <v>39</v>
      </c>
      <c r="B79" s="14" t="s">
        <v>40</v>
      </c>
      <c r="C79" s="14" t="s">
        <v>41</v>
      </c>
      <c r="D79" s="14" t="s">
        <v>56</v>
      </c>
      <c r="E79" s="14" t="s">
        <v>45</v>
      </c>
      <c r="F79" s="14"/>
      <c r="G79" s="14" t="s">
        <v>44</v>
      </c>
      <c r="H79" s="14" t="s">
        <v>57</v>
      </c>
      <c r="I79" s="15" t="s">
        <v>46</v>
      </c>
      <c r="L79" s="22"/>
      <c r="M79" s="22"/>
      <c r="N79" s="22"/>
      <c r="O79" s="22"/>
    </row>
    <row r="80" spans="1:15" x14ac:dyDescent="0.25">
      <c r="A80" s="16" t="s">
        <v>109</v>
      </c>
      <c r="B80" s="2">
        <v>2800000</v>
      </c>
      <c r="C80" s="2">
        <v>163333</v>
      </c>
      <c r="D80" s="2">
        <f>+B80*$D$78</f>
        <v>238000.00000000003</v>
      </c>
      <c r="E80" s="2">
        <f>+B80*$E$78</f>
        <v>336000</v>
      </c>
      <c r="F80" s="2"/>
      <c r="G80" s="2">
        <f>+B80*$G$27</f>
        <v>14616</v>
      </c>
      <c r="H80" s="2">
        <f>+B80*$H$27</f>
        <v>252000</v>
      </c>
      <c r="I80" s="17">
        <f>+B80+C80+D80+E80+G80+H80</f>
        <v>3803949</v>
      </c>
      <c r="L80" s="22"/>
      <c r="M80" s="22"/>
      <c r="N80" s="22"/>
      <c r="O80" s="22"/>
    </row>
    <row r="81" spans="1:15" x14ac:dyDescent="0.25">
      <c r="A81" s="16" t="s">
        <v>67</v>
      </c>
      <c r="B81" s="2">
        <v>4200000</v>
      </c>
      <c r="C81" s="2">
        <v>0</v>
      </c>
      <c r="D81" s="2">
        <f t="shared" ref="D81:D82" si="25">+B81*$D$78</f>
        <v>357000</v>
      </c>
      <c r="E81" s="2">
        <f t="shared" ref="E81:E83" si="26">+B81*$E$78</f>
        <v>504000</v>
      </c>
      <c r="F81" s="2"/>
      <c r="G81" s="2">
        <f t="shared" ref="G81:G83" si="27">+B81*$G$27</f>
        <v>21924</v>
      </c>
      <c r="H81" s="2">
        <f t="shared" ref="H81:H82" si="28">+B81*$H$27</f>
        <v>378000</v>
      </c>
      <c r="I81" s="17">
        <f t="shared" ref="I81:I84" si="29">+B81+C81+D81+E81+G81+H81</f>
        <v>5460924</v>
      </c>
      <c r="L81" s="22"/>
      <c r="M81" s="22"/>
      <c r="N81" s="22"/>
    </row>
    <row r="82" spans="1:15" x14ac:dyDescent="0.25">
      <c r="A82" s="16" t="s">
        <v>266</v>
      </c>
      <c r="B82" s="2">
        <v>1300000</v>
      </c>
      <c r="C82" s="2">
        <v>162000</v>
      </c>
      <c r="D82" s="2">
        <f t="shared" si="25"/>
        <v>110500.00000000001</v>
      </c>
      <c r="E82" s="2">
        <f>+(B82*$E$78)-2400</f>
        <v>153600</v>
      </c>
      <c r="F82" s="2"/>
      <c r="G82" s="2">
        <f t="shared" si="27"/>
        <v>6786</v>
      </c>
      <c r="H82" s="2">
        <f t="shared" si="28"/>
        <v>117000</v>
      </c>
      <c r="I82" s="17">
        <f t="shared" si="29"/>
        <v>1849886</v>
      </c>
    </row>
    <row r="83" spans="1:15" x14ac:dyDescent="0.25">
      <c r="A83" s="16" t="s">
        <v>74</v>
      </c>
      <c r="B83" s="2">
        <v>2800000</v>
      </c>
      <c r="C83" s="2">
        <v>163333</v>
      </c>
      <c r="D83" s="2">
        <f>+(B83*$D$78)-4800</f>
        <v>233200.00000000003</v>
      </c>
      <c r="E83" s="2">
        <f t="shared" si="26"/>
        <v>336000</v>
      </c>
      <c r="F83" s="2"/>
      <c r="G83" s="2">
        <f t="shared" si="27"/>
        <v>14616</v>
      </c>
      <c r="H83" s="2">
        <f>+(B83*$H$27)+6800</f>
        <v>258800</v>
      </c>
      <c r="I83" s="17">
        <f t="shared" si="29"/>
        <v>3805949</v>
      </c>
    </row>
    <row r="84" spans="1:15" x14ac:dyDescent="0.25">
      <c r="A84" s="16" t="s">
        <v>262</v>
      </c>
      <c r="B84" s="2"/>
      <c r="C84" s="2"/>
      <c r="D84" s="2"/>
      <c r="E84" s="2"/>
      <c r="F84" s="2"/>
      <c r="G84" s="2">
        <v>2758</v>
      </c>
      <c r="H84" s="2"/>
      <c r="I84" s="17">
        <f t="shared" si="29"/>
        <v>2758</v>
      </c>
      <c r="L84" s="22"/>
      <c r="M84" s="22"/>
      <c r="N84" s="22"/>
    </row>
    <row r="85" spans="1:15" ht="15" x14ac:dyDescent="0.25">
      <c r="A85" s="32" t="s">
        <v>60</v>
      </c>
      <c r="B85" s="18">
        <f>SUM(B80:B83)</f>
        <v>11100000</v>
      </c>
      <c r="C85" s="18">
        <f>SUM(C80:C83)</f>
        <v>488666</v>
      </c>
      <c r="D85" s="18">
        <f>SUM(D80:D83)</f>
        <v>938700</v>
      </c>
      <c r="E85" s="18">
        <f>SUM(E80:E83)</f>
        <v>1329600</v>
      </c>
      <c r="F85" s="18"/>
      <c r="G85" s="18">
        <f>SUM(G80:G84)</f>
        <v>60700</v>
      </c>
      <c r="H85" s="18">
        <f>SUM(H80:H84)</f>
        <v>1005800</v>
      </c>
      <c r="I85" s="18">
        <f>SUM(I80:I84)</f>
        <v>14923466</v>
      </c>
      <c r="L85" s="22"/>
      <c r="M85" s="22"/>
      <c r="N85" s="22"/>
    </row>
    <row r="86" spans="1:15" x14ac:dyDescent="0.25">
      <c r="A86" s="9"/>
      <c r="B86" s="33"/>
      <c r="C86" s="33"/>
      <c r="D86" s="33"/>
      <c r="E86" s="33"/>
      <c r="F86" s="33"/>
      <c r="G86" s="33"/>
      <c r="H86" s="33"/>
      <c r="I86" s="34"/>
      <c r="L86" s="22"/>
      <c r="M86" s="22"/>
      <c r="N86" s="22"/>
      <c r="O86" s="22"/>
    </row>
    <row r="87" spans="1:15" x14ac:dyDescent="0.25">
      <c r="A87" s="9" t="s">
        <v>62</v>
      </c>
      <c r="I87" s="12"/>
    </row>
    <row r="88" spans="1:15" x14ac:dyDescent="0.25">
      <c r="A88" s="9"/>
      <c r="D88" s="19">
        <v>8.3299999999999999E-2</v>
      </c>
      <c r="E88" s="19">
        <v>8.3299999999999999E-2</v>
      </c>
      <c r="F88" s="19"/>
      <c r="G88" s="20">
        <v>0.01</v>
      </c>
      <c r="H88" s="19">
        <v>4.1700000000000001E-2</v>
      </c>
      <c r="I88" s="12"/>
    </row>
    <row r="89" spans="1:15" ht="15" x14ac:dyDescent="0.25">
      <c r="A89" s="21" t="s">
        <v>39</v>
      </c>
      <c r="B89" s="3" t="s">
        <v>40</v>
      </c>
      <c r="C89" s="3" t="s">
        <v>41</v>
      </c>
      <c r="D89" s="3" t="s">
        <v>58</v>
      </c>
      <c r="E89" s="3" t="s">
        <v>42</v>
      </c>
      <c r="F89" s="3"/>
      <c r="G89" s="3" t="s">
        <v>59</v>
      </c>
      <c r="H89" s="3" t="s">
        <v>43</v>
      </c>
      <c r="I89" s="4" t="s">
        <v>46</v>
      </c>
    </row>
    <row r="90" spans="1:15" x14ac:dyDescent="0.25">
      <c r="A90" s="16" t="s">
        <v>109</v>
      </c>
      <c r="B90" s="2">
        <v>2800000</v>
      </c>
      <c r="C90" s="2">
        <v>162000</v>
      </c>
      <c r="D90" s="2">
        <f>+(B90+C90)*$D$37</f>
        <v>246734.6</v>
      </c>
      <c r="E90" s="2">
        <f>+(B90+C90)*$E$37</f>
        <v>246734.6</v>
      </c>
      <c r="F90" s="2"/>
      <c r="G90" s="2">
        <f>+(B90+C90)*$G$37</f>
        <v>29620</v>
      </c>
      <c r="H90" s="2">
        <f>+B90*$H$12</f>
        <v>116760</v>
      </c>
      <c r="I90" s="17">
        <f>+D90+E90+G90+H90</f>
        <v>639849.19999999995</v>
      </c>
    </row>
    <row r="91" spans="1:15" x14ac:dyDescent="0.25">
      <c r="A91" s="16" t="s">
        <v>67</v>
      </c>
      <c r="B91" s="2">
        <v>4200000</v>
      </c>
      <c r="C91" s="2">
        <v>0</v>
      </c>
      <c r="D91" s="2">
        <f t="shared" ref="D91:D93" si="30">+(B91+C91)*$D$37</f>
        <v>349860</v>
      </c>
      <c r="E91" s="2">
        <f t="shared" ref="E91:E93" si="31">+(B91+C91)*$E$37</f>
        <v>349860</v>
      </c>
      <c r="F91" s="2"/>
      <c r="G91" s="2">
        <f t="shared" ref="G91:G93" si="32">+(B91+C91)*$G$37</f>
        <v>42000</v>
      </c>
      <c r="H91" s="2">
        <f t="shared" ref="H91:H93" si="33">+B91*$H$12</f>
        <v>175140</v>
      </c>
      <c r="I91" s="17">
        <f t="shared" ref="I91:I93" si="34">+D91+E91+G91+H91</f>
        <v>916860</v>
      </c>
    </row>
    <row r="92" spans="1:15" x14ac:dyDescent="0.25">
      <c r="A92" s="16" t="s">
        <v>266</v>
      </c>
      <c r="B92" s="2">
        <v>1300000</v>
      </c>
      <c r="C92" s="2">
        <v>162000</v>
      </c>
      <c r="D92" s="2">
        <f t="shared" si="30"/>
        <v>121784.6</v>
      </c>
      <c r="E92" s="2">
        <f t="shared" si="31"/>
        <v>121784.6</v>
      </c>
      <c r="F92" s="2"/>
      <c r="G92" s="2">
        <f t="shared" si="32"/>
        <v>14620</v>
      </c>
      <c r="H92" s="2">
        <f t="shared" si="33"/>
        <v>54210</v>
      </c>
      <c r="I92" s="17">
        <f t="shared" si="34"/>
        <v>312399.2</v>
      </c>
    </row>
    <row r="93" spans="1:15" x14ac:dyDescent="0.25">
      <c r="A93" s="16" t="s">
        <v>74</v>
      </c>
      <c r="B93" s="2">
        <v>2800000</v>
      </c>
      <c r="C93" s="2">
        <v>162000</v>
      </c>
      <c r="D93" s="2">
        <f t="shared" si="30"/>
        <v>246734.6</v>
      </c>
      <c r="E93" s="2">
        <f t="shared" si="31"/>
        <v>246734.6</v>
      </c>
      <c r="F93" s="2"/>
      <c r="G93" s="2">
        <f t="shared" si="32"/>
        <v>29620</v>
      </c>
      <c r="H93" s="2">
        <f t="shared" si="33"/>
        <v>116760</v>
      </c>
      <c r="I93" s="17">
        <f t="shared" si="34"/>
        <v>639849.19999999995</v>
      </c>
    </row>
    <row r="94" spans="1:15" ht="15" x14ac:dyDescent="0.25">
      <c r="A94" s="32" t="s">
        <v>61</v>
      </c>
      <c r="B94" s="1"/>
      <c r="C94" s="1"/>
      <c r="D94" s="18">
        <f>SUM(D90:D93)</f>
        <v>965113.79999999993</v>
      </c>
      <c r="E94" s="18">
        <f>SUM(E90:E93)</f>
        <v>965113.79999999993</v>
      </c>
      <c r="F94" s="18"/>
      <c r="G94" s="18">
        <f>SUM(G90:G93)</f>
        <v>115860</v>
      </c>
      <c r="H94" s="18">
        <f>SUM(H90:H93)</f>
        <v>462870</v>
      </c>
      <c r="I94" s="18">
        <f>SUM(I90:I93)</f>
        <v>2508957.5999999996</v>
      </c>
    </row>
    <row r="95" spans="1:15" ht="15" x14ac:dyDescent="0.25">
      <c r="A95" s="9"/>
      <c r="I95" s="23">
        <f>+I85+I94</f>
        <v>17432423.600000001</v>
      </c>
    </row>
    <row r="96" spans="1:15" ht="15" x14ac:dyDescent="0.25">
      <c r="A96" s="9"/>
      <c r="H96" s="5" t="s">
        <v>117</v>
      </c>
      <c r="I96" s="24">
        <v>0</v>
      </c>
    </row>
    <row r="97" spans="1:9" ht="15" x14ac:dyDescent="0.25">
      <c r="A97" s="25" t="s">
        <v>37</v>
      </c>
      <c r="B97" s="26" t="s">
        <v>47</v>
      </c>
      <c r="C97" s="26"/>
      <c r="D97" s="27" t="s">
        <v>46</v>
      </c>
      <c r="H97" s="5" t="s">
        <v>267</v>
      </c>
      <c r="I97" s="24">
        <v>0</v>
      </c>
    </row>
    <row r="98" spans="1:9" x14ac:dyDescent="0.25">
      <c r="A98" s="16" t="s">
        <v>110</v>
      </c>
      <c r="B98" s="2">
        <v>1050000</v>
      </c>
      <c r="C98" s="2"/>
      <c r="D98" s="2">
        <f>+B98+C98</f>
        <v>1050000</v>
      </c>
      <c r="I98" s="12"/>
    </row>
    <row r="99" spans="1:9" x14ac:dyDescent="0.25">
      <c r="A99" s="163" t="s">
        <v>116</v>
      </c>
      <c r="B99" s="164">
        <v>4664000</v>
      </c>
      <c r="C99" s="164"/>
      <c r="D99" s="2">
        <f>+B99+C99</f>
        <v>4664000</v>
      </c>
      <c r="I99" s="12"/>
    </row>
    <row r="100" spans="1:9" ht="15.75" thickBot="1" x14ac:dyDescent="0.3">
      <c r="A100" s="28" t="s">
        <v>51</v>
      </c>
      <c r="B100" s="29">
        <v>0</v>
      </c>
      <c r="C100" s="29"/>
      <c r="D100" s="29">
        <f>+B100+C100</f>
        <v>0</v>
      </c>
      <c r="E100" s="30"/>
      <c r="F100" s="30"/>
      <c r="G100" s="30"/>
      <c r="H100" s="30"/>
      <c r="I100" s="169">
        <f>+I95+I96+I97+D98+D99+D100</f>
        <v>23146423.600000001</v>
      </c>
    </row>
    <row r="101" spans="1:9" ht="15" thickBot="1" x14ac:dyDescent="0.3"/>
    <row r="102" spans="1:9" ht="15" x14ac:dyDescent="0.25">
      <c r="A102" s="6" t="s">
        <v>288</v>
      </c>
      <c r="B102" s="7"/>
      <c r="C102" s="7"/>
      <c r="D102" s="7"/>
      <c r="E102" s="7"/>
      <c r="F102" s="7"/>
      <c r="G102" s="7"/>
      <c r="H102" s="7"/>
      <c r="I102" s="8"/>
    </row>
    <row r="103" spans="1:9" ht="15" thickBot="1" x14ac:dyDescent="0.3">
      <c r="A103" s="9"/>
      <c r="D103" s="10">
        <v>8.5000000000000006E-2</v>
      </c>
      <c r="E103" s="11">
        <v>0.12</v>
      </c>
      <c r="F103" s="11"/>
      <c r="G103" s="10">
        <v>5.2199999999999998E-3</v>
      </c>
      <c r="H103" s="11">
        <v>0.09</v>
      </c>
      <c r="I103" s="12"/>
    </row>
    <row r="104" spans="1:9" ht="15" x14ac:dyDescent="0.25">
      <c r="A104" s="13" t="s">
        <v>39</v>
      </c>
      <c r="B104" s="14" t="s">
        <v>40</v>
      </c>
      <c r="C104" s="14" t="s">
        <v>41</v>
      </c>
      <c r="D104" s="14" t="s">
        <v>56</v>
      </c>
      <c r="E104" s="14" t="s">
        <v>45</v>
      </c>
      <c r="F104" s="14"/>
      <c r="G104" s="14" t="s">
        <v>44</v>
      </c>
      <c r="H104" s="14" t="s">
        <v>57</v>
      </c>
      <c r="I104" s="15" t="s">
        <v>46</v>
      </c>
    </row>
    <row r="105" spans="1:9" x14ac:dyDescent="0.25">
      <c r="A105" s="16" t="s">
        <v>109</v>
      </c>
      <c r="B105" s="2">
        <v>2205600</v>
      </c>
      <c r="C105" s="2">
        <v>162000</v>
      </c>
      <c r="D105" s="2">
        <f>+B105*$D$78</f>
        <v>187476</v>
      </c>
      <c r="E105" s="2">
        <f>+B105*$E$78</f>
        <v>264672</v>
      </c>
      <c r="F105" s="2"/>
      <c r="G105" s="2">
        <f>+B105*$G$27</f>
        <v>11513.232</v>
      </c>
      <c r="H105" s="2">
        <f>+B105*$H$27</f>
        <v>198504</v>
      </c>
      <c r="I105" s="17">
        <f>+B105+C105+D105+E105+G105+H105</f>
        <v>3029765.2319999998</v>
      </c>
    </row>
    <row r="106" spans="1:9" x14ac:dyDescent="0.25">
      <c r="A106" s="16" t="s">
        <v>67</v>
      </c>
      <c r="B106" s="2">
        <v>3308400</v>
      </c>
      <c r="C106" s="2">
        <v>0</v>
      </c>
      <c r="D106" s="2">
        <f t="shared" ref="D106:D109" si="35">+B106*$D$78</f>
        <v>281214</v>
      </c>
      <c r="E106" s="2">
        <f t="shared" ref="E106:E109" si="36">+B106*$E$78</f>
        <v>397008</v>
      </c>
      <c r="F106" s="2"/>
      <c r="G106" s="2">
        <f t="shared" ref="G106:G108" si="37">+B106*$G$27</f>
        <v>17269.847999999998</v>
      </c>
      <c r="H106" s="2">
        <f t="shared" ref="H106:H109" si="38">+B106*$H$27</f>
        <v>297756</v>
      </c>
      <c r="I106" s="17">
        <f t="shared" ref="I106:I109" si="39">+B106+C106+D106+E106+G106+H106</f>
        <v>4301647.8480000002</v>
      </c>
    </row>
    <row r="107" spans="1:9" x14ac:dyDescent="0.25">
      <c r="A107" s="16" t="s">
        <v>266</v>
      </c>
      <c r="B107" s="2">
        <v>1300000</v>
      </c>
      <c r="C107" s="2">
        <v>162000</v>
      </c>
      <c r="D107" s="2">
        <f t="shared" si="35"/>
        <v>110500.00000000001</v>
      </c>
      <c r="E107" s="2">
        <f t="shared" si="36"/>
        <v>156000</v>
      </c>
      <c r="F107" s="2"/>
      <c r="G107" s="2">
        <f t="shared" si="37"/>
        <v>6786</v>
      </c>
      <c r="H107" s="2">
        <f t="shared" si="38"/>
        <v>117000</v>
      </c>
      <c r="I107" s="17">
        <f t="shared" si="39"/>
        <v>1852286</v>
      </c>
    </row>
    <row r="108" spans="1:9" x14ac:dyDescent="0.25">
      <c r="A108" s="16" t="s">
        <v>74</v>
      </c>
      <c r="B108" s="2">
        <v>2205600</v>
      </c>
      <c r="C108" s="2">
        <v>162000</v>
      </c>
      <c r="D108" s="2">
        <v>185026</v>
      </c>
      <c r="E108" s="2">
        <v>261536</v>
      </c>
      <c r="F108" s="2"/>
      <c r="G108" s="2">
        <f t="shared" si="37"/>
        <v>11513.232</v>
      </c>
      <c r="H108" s="2">
        <v>196740</v>
      </c>
      <c r="I108" s="17">
        <f t="shared" si="39"/>
        <v>3022415.2319999998</v>
      </c>
    </row>
    <row r="109" spans="1:9" x14ac:dyDescent="0.25">
      <c r="A109" s="16" t="s">
        <v>262</v>
      </c>
      <c r="B109" s="2"/>
      <c r="C109" s="2"/>
      <c r="D109" s="2">
        <f t="shared" si="35"/>
        <v>0</v>
      </c>
      <c r="E109" s="2">
        <f t="shared" si="36"/>
        <v>0</v>
      </c>
      <c r="F109" s="2"/>
      <c r="G109" s="2">
        <v>13618</v>
      </c>
      <c r="H109" s="2">
        <f t="shared" si="38"/>
        <v>0</v>
      </c>
      <c r="I109" s="17">
        <f t="shared" si="39"/>
        <v>13618</v>
      </c>
    </row>
    <row r="110" spans="1:9" ht="15" x14ac:dyDescent="0.25">
      <c r="A110" s="32" t="s">
        <v>60</v>
      </c>
      <c r="B110" s="18">
        <f>SUM(B105:B108)</f>
        <v>9019600</v>
      </c>
      <c r="C110" s="18">
        <f>SUM(C105:C108)</f>
        <v>486000</v>
      </c>
      <c r="D110" s="18">
        <f>SUM(D105:D108)</f>
        <v>764216</v>
      </c>
      <c r="E110" s="18">
        <f>SUM(E105:E108)</f>
        <v>1079216</v>
      </c>
      <c r="F110" s="18"/>
      <c r="G110" s="18">
        <f>SUM(G105:G109)</f>
        <v>60700.312000000005</v>
      </c>
      <c r="H110" s="18">
        <f>SUM(H105:H109)</f>
        <v>810000</v>
      </c>
      <c r="I110" s="18">
        <f>SUM(I105:I109)</f>
        <v>12219732.311999999</v>
      </c>
    </row>
    <row r="111" spans="1:9" x14ac:dyDescent="0.25">
      <c r="A111" s="9"/>
      <c r="B111" s="33"/>
      <c r="C111" s="33"/>
      <c r="D111" s="33"/>
      <c r="E111" s="33"/>
      <c r="F111" s="33"/>
      <c r="G111" s="33"/>
      <c r="H111" s="33"/>
      <c r="I111" s="34"/>
    </row>
    <row r="112" spans="1:9" x14ac:dyDescent="0.25">
      <c r="A112" s="9" t="s">
        <v>62</v>
      </c>
      <c r="I112" s="12"/>
    </row>
    <row r="113" spans="1:9" x14ac:dyDescent="0.25">
      <c r="A113" s="9"/>
      <c r="D113" s="19">
        <v>8.3299999999999999E-2</v>
      </c>
      <c r="E113" s="19">
        <v>8.3299999999999999E-2</v>
      </c>
      <c r="F113" s="19"/>
      <c r="G113" s="20">
        <v>0.01</v>
      </c>
      <c r="H113" s="19">
        <v>4.1700000000000001E-2</v>
      </c>
      <c r="I113" s="12"/>
    </row>
    <row r="114" spans="1:9" ht="15" x14ac:dyDescent="0.25">
      <c r="A114" s="21" t="s">
        <v>39</v>
      </c>
      <c r="B114" s="3" t="s">
        <v>40</v>
      </c>
      <c r="C114" s="3" t="s">
        <v>41</v>
      </c>
      <c r="D114" s="3" t="s">
        <v>58</v>
      </c>
      <c r="E114" s="3" t="s">
        <v>42</v>
      </c>
      <c r="F114" s="3"/>
      <c r="G114" s="3" t="s">
        <v>59</v>
      </c>
      <c r="H114" s="3" t="s">
        <v>43</v>
      </c>
      <c r="I114" s="4" t="s">
        <v>46</v>
      </c>
    </row>
    <row r="115" spans="1:9" x14ac:dyDescent="0.25">
      <c r="A115" s="16" t="s">
        <v>109</v>
      </c>
      <c r="B115" s="2">
        <v>2205600</v>
      </c>
      <c r="C115" s="2">
        <v>162000</v>
      </c>
      <c r="D115" s="2">
        <f>+(B115+C115)*$D$37</f>
        <v>197221.08</v>
      </c>
      <c r="E115" s="2">
        <f>+(B115+C115)*$E$37</f>
        <v>197221.08</v>
      </c>
      <c r="F115" s="2"/>
      <c r="G115" s="2">
        <f>+(B115+C115)*$G$37</f>
        <v>23676</v>
      </c>
      <c r="H115" s="2">
        <v>890115</v>
      </c>
      <c r="I115" s="17">
        <f>+D115+E115+G115+H115</f>
        <v>1308233.1599999999</v>
      </c>
    </row>
    <row r="116" spans="1:9" x14ac:dyDescent="0.25">
      <c r="A116" s="16" t="s">
        <v>67</v>
      </c>
      <c r="B116" s="2">
        <v>3308400</v>
      </c>
      <c r="C116" s="2">
        <v>0</v>
      </c>
      <c r="D116" s="2">
        <f t="shared" ref="D116:D118" si="40">+(B116+C116)*$D$37</f>
        <v>275589.71999999997</v>
      </c>
      <c r="E116" s="2">
        <f t="shared" ref="E116:E118" si="41">+(B116+C116)*$E$37</f>
        <v>275589.71999999997</v>
      </c>
      <c r="F116" s="2"/>
      <c r="G116" s="2">
        <f t="shared" ref="G116:G118" si="42">+(B116+C116)*$G$37</f>
        <v>33084</v>
      </c>
      <c r="H116" s="2">
        <v>1799576</v>
      </c>
      <c r="I116" s="17">
        <f t="shared" ref="I116:I118" si="43">+D116+E116+G116+H116</f>
        <v>2383839.44</v>
      </c>
    </row>
    <row r="117" spans="1:9" x14ac:dyDescent="0.25">
      <c r="A117" s="16" t="s">
        <v>266</v>
      </c>
      <c r="B117" s="2">
        <v>1300000</v>
      </c>
      <c r="C117" s="2">
        <v>162000</v>
      </c>
      <c r="D117" s="2">
        <f t="shared" si="40"/>
        <v>121784.6</v>
      </c>
      <c r="E117" s="2">
        <f t="shared" si="41"/>
        <v>121784.6</v>
      </c>
      <c r="F117" s="2"/>
      <c r="G117" s="2">
        <f t="shared" si="42"/>
        <v>14620</v>
      </c>
      <c r="H117" s="2">
        <f t="shared" ref="H117" si="44">+B117*$H$12</f>
        <v>54210</v>
      </c>
      <c r="I117" s="17">
        <f t="shared" si="43"/>
        <v>312399.2</v>
      </c>
    </row>
    <row r="118" spans="1:9" x14ac:dyDescent="0.25">
      <c r="A118" s="16" t="s">
        <v>74</v>
      </c>
      <c r="B118" s="2">
        <v>2205600</v>
      </c>
      <c r="C118" s="2">
        <v>162000</v>
      </c>
      <c r="D118" s="2">
        <f t="shared" si="40"/>
        <v>197221.08</v>
      </c>
      <c r="E118" s="2">
        <f t="shared" si="41"/>
        <v>197221.08</v>
      </c>
      <c r="F118" s="2"/>
      <c r="G118" s="2">
        <f t="shared" si="42"/>
        <v>23676</v>
      </c>
      <c r="H118" s="2">
        <v>1208436</v>
      </c>
      <c r="I118" s="17">
        <f t="shared" si="43"/>
        <v>1626554.16</v>
      </c>
    </row>
    <row r="119" spans="1:9" ht="15" x14ac:dyDescent="0.25">
      <c r="A119" s="32" t="s">
        <v>61</v>
      </c>
      <c r="B119" s="1"/>
      <c r="C119" s="1"/>
      <c r="D119" s="18">
        <f>SUM(D115:D118)</f>
        <v>791816.47999999986</v>
      </c>
      <c r="E119" s="18">
        <f>SUM(E115:E118)</f>
        <v>791816.47999999986</v>
      </c>
      <c r="F119" s="18"/>
      <c r="G119" s="18">
        <f>SUM(G115:G118)</f>
        <v>95056</v>
      </c>
      <c r="H119" s="18">
        <f>SUM(H115:H118)</f>
        <v>3952337</v>
      </c>
      <c r="I119" s="18">
        <f>SUM(I115:I118)</f>
        <v>5631025.96</v>
      </c>
    </row>
    <row r="120" spans="1:9" ht="15" x14ac:dyDescent="0.25">
      <c r="A120" s="9"/>
      <c r="I120" s="23">
        <f>+I110+I119</f>
        <v>17850758.272</v>
      </c>
    </row>
    <row r="121" spans="1:9" ht="15" x14ac:dyDescent="0.25">
      <c r="A121" s="9"/>
      <c r="H121" s="5" t="s">
        <v>117</v>
      </c>
      <c r="I121" s="24">
        <v>0</v>
      </c>
    </row>
    <row r="122" spans="1:9" ht="15" x14ac:dyDescent="0.25">
      <c r="A122" s="25" t="s">
        <v>37</v>
      </c>
      <c r="B122" s="26" t="s">
        <v>47</v>
      </c>
      <c r="C122" s="26"/>
      <c r="D122" s="27" t="s">
        <v>46</v>
      </c>
      <c r="H122" s="5" t="s">
        <v>267</v>
      </c>
      <c r="I122" s="24">
        <v>0</v>
      </c>
    </row>
    <row r="123" spans="1:9" x14ac:dyDescent="0.25">
      <c r="A123" s="16" t="s">
        <v>110</v>
      </c>
      <c r="B123" s="2">
        <v>870000</v>
      </c>
      <c r="C123" s="2"/>
      <c r="D123" s="2">
        <f>+B123+C123</f>
        <v>870000</v>
      </c>
      <c r="I123" s="12"/>
    </row>
    <row r="124" spans="1:9" x14ac:dyDescent="0.25">
      <c r="A124" s="163" t="s">
        <v>116</v>
      </c>
      <c r="B124" s="164">
        <v>4664000</v>
      </c>
      <c r="C124" s="164"/>
      <c r="D124" s="2">
        <f>+B124+C124</f>
        <v>4664000</v>
      </c>
      <c r="I124" s="12"/>
    </row>
    <row r="125" spans="1:9" ht="15.75" thickBot="1" x14ac:dyDescent="0.3">
      <c r="A125" s="28" t="s">
        <v>51</v>
      </c>
      <c r="B125" s="29">
        <v>4000000</v>
      </c>
      <c r="C125" s="29"/>
      <c r="D125" s="29">
        <f>+B125+C125</f>
        <v>4000000</v>
      </c>
      <c r="E125" s="30"/>
      <c r="F125" s="30"/>
      <c r="G125" s="30"/>
      <c r="H125" s="30"/>
      <c r="I125" s="169">
        <f>+I120+I121+I122+D123+D124+D125</f>
        <v>27384758.272</v>
      </c>
    </row>
    <row r="126" spans="1:9" ht="15" thickBot="1" x14ac:dyDescent="0.3"/>
    <row r="127" spans="1:9" ht="15" x14ac:dyDescent="0.25">
      <c r="A127" s="6" t="s">
        <v>292</v>
      </c>
      <c r="B127" s="7"/>
      <c r="C127" s="7"/>
      <c r="D127" s="7"/>
      <c r="E127" s="7"/>
      <c r="F127" s="7"/>
      <c r="G127" s="7"/>
      <c r="H127" s="7"/>
      <c r="I127" s="8"/>
    </row>
    <row r="128" spans="1:9" ht="15" thickBot="1" x14ac:dyDescent="0.3">
      <c r="A128" s="9"/>
      <c r="D128" s="10">
        <v>8.5000000000000006E-2</v>
      </c>
      <c r="E128" s="11">
        <v>0.12</v>
      </c>
      <c r="F128" s="11"/>
      <c r="G128" s="10">
        <v>5.2199999999999998E-3</v>
      </c>
      <c r="H128" s="11">
        <v>0.09</v>
      </c>
      <c r="I128" s="12"/>
    </row>
    <row r="129" spans="1:9" ht="15" x14ac:dyDescent="0.25">
      <c r="A129" s="13" t="s">
        <v>39</v>
      </c>
      <c r="B129" s="14" t="s">
        <v>40</v>
      </c>
      <c r="C129" s="14" t="s">
        <v>41</v>
      </c>
      <c r="D129" s="14" t="s">
        <v>56</v>
      </c>
      <c r="E129" s="14" t="s">
        <v>45</v>
      </c>
      <c r="F129" s="14"/>
      <c r="G129" s="14" t="s">
        <v>44</v>
      </c>
      <c r="H129" s="14" t="s">
        <v>57</v>
      </c>
      <c r="I129" s="15" t="s">
        <v>46</v>
      </c>
    </row>
    <row r="130" spans="1:9" x14ac:dyDescent="0.25">
      <c r="A130" s="16" t="s">
        <v>109</v>
      </c>
      <c r="B130" s="2">
        <v>2205600</v>
      </c>
      <c r="C130" s="2">
        <v>162000</v>
      </c>
      <c r="D130" s="2">
        <f>+B130*$D$78</f>
        <v>187476</v>
      </c>
      <c r="E130" s="2">
        <f>+B130*$E$78</f>
        <v>264672</v>
      </c>
      <c r="F130" s="2"/>
      <c r="G130" s="2">
        <f>+B130*$G$27</f>
        <v>11513.232</v>
      </c>
      <c r="H130" s="2">
        <f>+B130*$H$27</f>
        <v>198504</v>
      </c>
      <c r="I130" s="17">
        <f>+B130+C130+D130+E130+G130+H130</f>
        <v>3029765.2319999998</v>
      </c>
    </row>
    <row r="131" spans="1:9" x14ac:dyDescent="0.25">
      <c r="A131" s="16" t="s">
        <v>67</v>
      </c>
      <c r="B131" s="2">
        <v>3308400</v>
      </c>
      <c r="C131" s="2">
        <v>0</v>
      </c>
      <c r="D131" s="2">
        <f t="shared" ref="D131:D134" si="45">+B131*$D$78</f>
        <v>281214</v>
      </c>
      <c r="E131" s="2">
        <f t="shared" ref="E131:E134" si="46">+B131*$E$78</f>
        <v>397008</v>
      </c>
      <c r="F131" s="2"/>
      <c r="G131" s="2">
        <f t="shared" ref="G131:G133" si="47">+B131*$G$27</f>
        <v>17269.847999999998</v>
      </c>
      <c r="H131" s="2">
        <f t="shared" ref="H131:H134" si="48">+B131*$H$27</f>
        <v>297756</v>
      </c>
      <c r="I131" s="17">
        <f t="shared" ref="I131:I134" si="49">+B131+C131+D131+E131+G131+H131</f>
        <v>4301647.8480000002</v>
      </c>
    </row>
    <row r="132" spans="1:9" x14ac:dyDescent="0.25">
      <c r="A132" s="16" t="s">
        <v>266</v>
      </c>
      <c r="B132" s="2">
        <v>1300000</v>
      </c>
      <c r="C132" s="2">
        <v>162000</v>
      </c>
      <c r="D132" s="2">
        <f t="shared" si="45"/>
        <v>110500.00000000001</v>
      </c>
      <c r="E132" s="2">
        <f t="shared" si="46"/>
        <v>156000</v>
      </c>
      <c r="F132" s="2"/>
      <c r="G132" s="2">
        <f t="shared" si="47"/>
        <v>6786</v>
      </c>
      <c r="H132" s="2">
        <f t="shared" si="48"/>
        <v>117000</v>
      </c>
      <c r="I132" s="17">
        <f t="shared" si="49"/>
        <v>1852286</v>
      </c>
    </row>
    <row r="133" spans="1:9" x14ac:dyDescent="0.25">
      <c r="A133" s="16" t="s">
        <v>74</v>
      </c>
      <c r="B133" s="2">
        <v>2205600</v>
      </c>
      <c r="C133" s="2">
        <v>162000</v>
      </c>
      <c r="D133" s="2">
        <f t="shared" si="45"/>
        <v>187476</v>
      </c>
      <c r="E133" s="2">
        <f t="shared" si="46"/>
        <v>264672</v>
      </c>
      <c r="F133" s="2"/>
      <c r="G133" s="2">
        <f t="shared" si="47"/>
        <v>11513.232</v>
      </c>
      <c r="H133" s="2">
        <f t="shared" si="48"/>
        <v>198504</v>
      </c>
      <c r="I133" s="17">
        <f t="shared" si="49"/>
        <v>3029765.2319999998</v>
      </c>
    </row>
    <row r="134" spans="1:9" x14ac:dyDescent="0.25">
      <c r="A134" s="16" t="s">
        <v>262</v>
      </c>
      <c r="B134" s="2"/>
      <c r="C134" s="2"/>
      <c r="D134" s="2">
        <f t="shared" si="45"/>
        <v>0</v>
      </c>
      <c r="E134" s="2">
        <f t="shared" si="46"/>
        <v>0</v>
      </c>
      <c r="F134" s="2"/>
      <c r="G134" s="2">
        <v>6269</v>
      </c>
      <c r="H134" s="2">
        <f t="shared" si="48"/>
        <v>0</v>
      </c>
      <c r="I134" s="17">
        <f t="shared" si="49"/>
        <v>6269</v>
      </c>
    </row>
    <row r="135" spans="1:9" ht="15" x14ac:dyDescent="0.25">
      <c r="A135" s="32" t="s">
        <v>60</v>
      </c>
      <c r="B135" s="18">
        <f>SUM(B130:B133)</f>
        <v>9019600</v>
      </c>
      <c r="C135" s="18">
        <f>SUM(C130:C133)</f>
        <v>486000</v>
      </c>
      <c r="D135" s="18">
        <f>SUM(D130:D133)</f>
        <v>766666</v>
      </c>
      <c r="E135" s="18">
        <f>SUM(E130:E133)</f>
        <v>1082352</v>
      </c>
      <c r="F135" s="18"/>
      <c r="G135" s="18">
        <f>SUM(G130:G134)</f>
        <v>53351.312000000005</v>
      </c>
      <c r="H135" s="18">
        <f>SUM(H130:H134)</f>
        <v>811764</v>
      </c>
      <c r="I135" s="18">
        <f>SUM(I130:I134)</f>
        <v>12219733.311999999</v>
      </c>
    </row>
    <row r="136" spans="1:9" x14ac:dyDescent="0.25">
      <c r="A136" s="9"/>
      <c r="B136" s="33"/>
      <c r="C136" s="33"/>
      <c r="D136" s="33"/>
      <c r="E136" s="33"/>
      <c r="F136" s="33"/>
      <c r="G136" s="33"/>
      <c r="H136" s="33"/>
      <c r="I136" s="34"/>
    </row>
    <row r="137" spans="1:9" x14ac:dyDescent="0.25">
      <c r="A137" s="9" t="s">
        <v>62</v>
      </c>
      <c r="I137" s="12"/>
    </row>
    <row r="138" spans="1:9" x14ac:dyDescent="0.25">
      <c r="A138" s="9"/>
      <c r="D138" s="19">
        <v>8.3299999999999999E-2</v>
      </c>
      <c r="E138" s="19">
        <v>8.3299999999999999E-2</v>
      </c>
      <c r="F138" s="19"/>
      <c r="G138" s="20">
        <v>0.01</v>
      </c>
      <c r="H138" s="19">
        <v>4.1700000000000001E-2</v>
      </c>
      <c r="I138" s="12"/>
    </row>
    <row r="139" spans="1:9" ht="15" x14ac:dyDescent="0.25">
      <c r="A139" s="21" t="s">
        <v>39</v>
      </c>
      <c r="B139" s="3" t="s">
        <v>40</v>
      </c>
      <c r="C139" s="3" t="s">
        <v>41</v>
      </c>
      <c r="D139" s="3" t="s">
        <v>58</v>
      </c>
      <c r="E139" s="3" t="s">
        <v>42</v>
      </c>
      <c r="F139" s="3"/>
      <c r="G139" s="3" t="s">
        <v>59</v>
      </c>
      <c r="H139" s="3" t="s">
        <v>43</v>
      </c>
      <c r="I139" s="4" t="s">
        <v>46</v>
      </c>
    </row>
    <row r="140" spans="1:9" x14ac:dyDescent="0.25">
      <c r="A140" s="16" t="s">
        <v>109</v>
      </c>
      <c r="B140" s="2">
        <v>2205600</v>
      </c>
      <c r="C140" s="2">
        <v>162000</v>
      </c>
      <c r="D140" s="2">
        <f>+(B140+C140)*$D$138</f>
        <v>197221.08</v>
      </c>
      <c r="E140" s="2">
        <f>+(B140+C140)*$E$37</f>
        <v>197221.08</v>
      </c>
      <c r="F140" s="2"/>
      <c r="G140" s="2">
        <f>+(B140+C140)*$G$37</f>
        <v>23676</v>
      </c>
      <c r="H140" s="2">
        <f>+B140*$H$138</f>
        <v>91973.52</v>
      </c>
      <c r="I140" s="17">
        <f>+D140+E140+G140+H140</f>
        <v>510091.68</v>
      </c>
    </row>
    <row r="141" spans="1:9" x14ac:dyDescent="0.25">
      <c r="A141" s="16" t="s">
        <v>67</v>
      </c>
      <c r="B141" s="2">
        <v>3308400</v>
      </c>
      <c r="C141" s="2">
        <v>0</v>
      </c>
      <c r="D141" s="2">
        <f t="shared" ref="D141:D143" si="50">+(B141+C141)*$D$138</f>
        <v>275589.71999999997</v>
      </c>
      <c r="E141" s="2">
        <f t="shared" ref="E141:E143" si="51">+(B141+C141)*$E$37</f>
        <v>275589.71999999997</v>
      </c>
      <c r="F141" s="2"/>
      <c r="G141" s="2">
        <f t="shared" ref="G141:G143" si="52">+(B141+C141)*$G$37</f>
        <v>33084</v>
      </c>
      <c r="H141" s="2">
        <f t="shared" ref="H141:H143" si="53">+B141*$H$138</f>
        <v>137960.28</v>
      </c>
      <c r="I141" s="17">
        <f t="shared" ref="I141:I143" si="54">+D141+E141+G141+H141</f>
        <v>722223.72</v>
      </c>
    </row>
    <row r="142" spans="1:9" x14ac:dyDescent="0.25">
      <c r="A142" s="16" t="s">
        <v>266</v>
      </c>
      <c r="B142" s="2">
        <v>1300000</v>
      </c>
      <c r="C142" s="2">
        <v>162000</v>
      </c>
      <c r="D142" s="2">
        <f t="shared" si="50"/>
        <v>121784.6</v>
      </c>
      <c r="E142" s="2">
        <f t="shared" si="51"/>
        <v>121784.6</v>
      </c>
      <c r="F142" s="2"/>
      <c r="G142" s="2">
        <f t="shared" si="52"/>
        <v>14620</v>
      </c>
      <c r="H142" s="2">
        <f t="shared" si="53"/>
        <v>54210</v>
      </c>
      <c r="I142" s="17">
        <f t="shared" si="54"/>
        <v>312399.2</v>
      </c>
    </row>
    <row r="143" spans="1:9" x14ac:dyDescent="0.25">
      <c r="A143" s="16" t="s">
        <v>74</v>
      </c>
      <c r="B143" s="2">
        <v>2205600</v>
      </c>
      <c r="C143" s="2">
        <v>162000</v>
      </c>
      <c r="D143" s="2">
        <f t="shared" si="50"/>
        <v>197221.08</v>
      </c>
      <c r="E143" s="2">
        <f t="shared" si="51"/>
        <v>197221.08</v>
      </c>
      <c r="F143" s="2"/>
      <c r="G143" s="2">
        <f t="shared" si="52"/>
        <v>23676</v>
      </c>
      <c r="H143" s="2">
        <f t="shared" si="53"/>
        <v>91973.52</v>
      </c>
      <c r="I143" s="17">
        <f t="shared" si="54"/>
        <v>510091.68</v>
      </c>
    </row>
    <row r="144" spans="1:9" ht="15" x14ac:dyDescent="0.25">
      <c r="A144" s="32" t="s">
        <v>61</v>
      </c>
      <c r="B144" s="2"/>
      <c r="C144" s="1"/>
      <c r="D144" s="18">
        <f>SUM(D140:D143)</f>
        <v>791816.47999999986</v>
      </c>
      <c r="E144" s="18">
        <f>SUM(E140:E143)</f>
        <v>791816.47999999986</v>
      </c>
      <c r="F144" s="18"/>
      <c r="G144" s="18">
        <f>SUM(G140:G143)</f>
        <v>95056</v>
      </c>
      <c r="H144" s="18">
        <f>SUM(H140:H143)</f>
        <v>376117.32</v>
      </c>
      <c r="I144" s="18">
        <f>SUM(I140:I143)</f>
        <v>2054806.2799999998</v>
      </c>
    </row>
    <row r="145" spans="1:9" ht="15" x14ac:dyDescent="0.25">
      <c r="A145" s="9"/>
      <c r="I145" s="23">
        <f>+I135+I144</f>
        <v>14274539.591999998</v>
      </c>
    </row>
    <row r="146" spans="1:9" ht="15" x14ac:dyDescent="0.25">
      <c r="A146" s="9"/>
      <c r="H146" s="5" t="s">
        <v>117</v>
      </c>
      <c r="I146" s="24">
        <v>0</v>
      </c>
    </row>
    <row r="147" spans="1:9" ht="15" x14ac:dyDescent="0.25">
      <c r="A147" s="25" t="s">
        <v>37</v>
      </c>
      <c r="B147" s="26" t="s">
        <v>47</v>
      </c>
      <c r="C147" s="26"/>
      <c r="D147" s="27" t="s">
        <v>46</v>
      </c>
      <c r="H147" s="5" t="s">
        <v>267</v>
      </c>
      <c r="I147" s="24">
        <v>0</v>
      </c>
    </row>
    <row r="148" spans="1:9" x14ac:dyDescent="0.25">
      <c r="A148" s="16" t="s">
        <v>110</v>
      </c>
      <c r="B148" s="2">
        <v>870000</v>
      </c>
      <c r="C148" s="2"/>
      <c r="D148" s="2">
        <f>+B148+C148</f>
        <v>870000</v>
      </c>
      <c r="I148" s="12"/>
    </row>
    <row r="149" spans="1:9" x14ac:dyDescent="0.25">
      <c r="A149" s="163" t="s">
        <v>116</v>
      </c>
      <c r="B149" s="164">
        <v>4664000</v>
      </c>
      <c r="C149" s="164"/>
      <c r="D149" s="2">
        <f>+B149+C149</f>
        <v>4664000</v>
      </c>
      <c r="I149" s="12"/>
    </row>
    <row r="150" spans="1:9" ht="15.75" thickBot="1" x14ac:dyDescent="0.3">
      <c r="A150" s="28" t="s">
        <v>51</v>
      </c>
      <c r="B150" s="29">
        <v>2000000</v>
      </c>
      <c r="C150" s="29"/>
      <c r="D150" s="29">
        <f>+B150+C150</f>
        <v>2000000</v>
      </c>
      <c r="E150" s="30"/>
      <c r="F150" s="30"/>
      <c r="G150" s="30"/>
      <c r="H150" s="30"/>
      <c r="I150" s="169">
        <f>+I145+I146+I147+D148+D149+D150</f>
        <v>21808539.592</v>
      </c>
    </row>
    <row r="152" spans="1:9" ht="15" thickBot="1" x14ac:dyDescent="0.3"/>
    <row r="153" spans="1:9" ht="15" x14ac:dyDescent="0.25">
      <c r="A153" s="6" t="s">
        <v>295</v>
      </c>
      <c r="B153" s="7"/>
      <c r="C153" s="7"/>
      <c r="D153" s="7"/>
      <c r="E153" s="7"/>
      <c r="F153" s="7"/>
      <c r="G153" s="7"/>
      <c r="H153" s="7"/>
      <c r="I153" s="8"/>
    </row>
    <row r="154" spans="1:9" ht="15" thickBot="1" x14ac:dyDescent="0.3">
      <c r="A154" s="9"/>
      <c r="D154" s="10">
        <v>8.5000000000000006E-2</v>
      </c>
      <c r="E154" s="11">
        <v>0.12</v>
      </c>
      <c r="F154" s="11"/>
      <c r="G154" s="10">
        <v>5.2199999999999998E-3</v>
      </c>
      <c r="H154" s="11">
        <v>0.09</v>
      </c>
      <c r="I154" s="12"/>
    </row>
    <row r="155" spans="1:9" ht="15" x14ac:dyDescent="0.25">
      <c r="A155" s="13" t="s">
        <v>39</v>
      </c>
      <c r="B155" s="14" t="s">
        <v>40</v>
      </c>
      <c r="C155" s="14" t="s">
        <v>41</v>
      </c>
      <c r="D155" s="14" t="s">
        <v>56</v>
      </c>
      <c r="E155" s="14" t="s">
        <v>45</v>
      </c>
      <c r="F155" s="14"/>
      <c r="G155" s="14" t="s">
        <v>44</v>
      </c>
      <c r="H155" s="14" t="s">
        <v>57</v>
      </c>
      <c r="I155" s="15" t="s">
        <v>46</v>
      </c>
    </row>
    <row r="156" spans="1:9" x14ac:dyDescent="0.25">
      <c r="A156" s="16" t="s">
        <v>109</v>
      </c>
      <c r="B156" s="2">
        <v>2205600</v>
      </c>
      <c r="C156" s="2">
        <v>162000</v>
      </c>
      <c r="D156" s="2">
        <f>+B156*$D$78</f>
        <v>187476</v>
      </c>
      <c r="E156" s="2">
        <f>+B156*$E$78</f>
        <v>264672</v>
      </c>
      <c r="F156" s="2"/>
      <c r="G156" s="2">
        <f>+B156*$G$154</f>
        <v>11513.232</v>
      </c>
      <c r="H156" s="2">
        <f>+B156*$H$27</f>
        <v>198504</v>
      </c>
      <c r="I156" s="17">
        <f>+B156+C156+D156+E156+G156+H156</f>
        <v>3029765.2319999998</v>
      </c>
    </row>
    <row r="157" spans="1:9" x14ac:dyDescent="0.25">
      <c r="A157" s="16" t="s">
        <v>67</v>
      </c>
      <c r="B157" s="2">
        <v>3308400</v>
      </c>
      <c r="C157" s="2">
        <v>0</v>
      </c>
      <c r="D157" s="2">
        <f t="shared" ref="D157:D160" si="55">+B157*$D$78</f>
        <v>281214</v>
      </c>
      <c r="E157" s="2">
        <f t="shared" ref="E157:E160" si="56">+B157*$E$78</f>
        <v>397008</v>
      </c>
      <c r="F157" s="2"/>
      <c r="G157" s="2">
        <f t="shared" ref="G157:G159" si="57">+B157*$G$154</f>
        <v>17269.847999999998</v>
      </c>
      <c r="H157" s="2">
        <f t="shared" ref="H157:H160" si="58">+B157*$H$27</f>
        <v>297756</v>
      </c>
      <c r="I157" s="17">
        <f t="shared" ref="I157:I160" si="59">+B157+C157+D157+E157+G157+H157</f>
        <v>4301647.8480000002</v>
      </c>
    </row>
    <row r="158" spans="1:9" x14ac:dyDescent="0.25">
      <c r="A158" s="16" t="s">
        <v>266</v>
      </c>
      <c r="B158" s="2">
        <v>1300000</v>
      </c>
      <c r="C158" s="2">
        <v>162000</v>
      </c>
      <c r="D158" s="2">
        <f t="shared" si="55"/>
        <v>110500.00000000001</v>
      </c>
      <c r="E158" s="2">
        <f t="shared" si="56"/>
        <v>156000</v>
      </c>
      <c r="F158" s="2"/>
      <c r="G158" s="2">
        <f t="shared" si="57"/>
        <v>6786</v>
      </c>
      <c r="H158" s="2">
        <f t="shared" si="58"/>
        <v>117000</v>
      </c>
      <c r="I158" s="17">
        <f t="shared" si="59"/>
        <v>1852286</v>
      </c>
    </row>
    <row r="159" spans="1:9" x14ac:dyDescent="0.25">
      <c r="A159" s="16" t="s">
        <v>74</v>
      </c>
      <c r="B159" s="2">
        <v>2205600</v>
      </c>
      <c r="C159" s="2">
        <v>162000</v>
      </c>
      <c r="D159" s="2">
        <f t="shared" si="55"/>
        <v>187476</v>
      </c>
      <c r="E159" s="2">
        <f t="shared" si="56"/>
        <v>264672</v>
      </c>
      <c r="F159" s="2"/>
      <c r="G159" s="2">
        <f t="shared" si="57"/>
        <v>11513.232</v>
      </c>
      <c r="H159" s="2">
        <f t="shared" si="58"/>
        <v>198504</v>
      </c>
      <c r="I159" s="17">
        <f t="shared" si="59"/>
        <v>3029765.2319999998</v>
      </c>
    </row>
    <row r="160" spans="1:9" x14ac:dyDescent="0.25">
      <c r="A160" s="16" t="s">
        <v>262</v>
      </c>
      <c r="B160" s="2"/>
      <c r="C160" s="2"/>
      <c r="D160" s="2">
        <f t="shared" si="55"/>
        <v>0</v>
      </c>
      <c r="E160" s="2">
        <f t="shared" si="56"/>
        <v>0</v>
      </c>
      <c r="F160" s="2"/>
      <c r="G160" s="2">
        <v>6229</v>
      </c>
      <c r="H160" s="2">
        <f t="shared" si="58"/>
        <v>0</v>
      </c>
      <c r="I160" s="17">
        <f t="shared" si="59"/>
        <v>6229</v>
      </c>
    </row>
    <row r="161" spans="1:9" ht="15" x14ac:dyDescent="0.25">
      <c r="A161" s="32" t="s">
        <v>60</v>
      </c>
      <c r="B161" s="18">
        <f>SUM(B156:B159)</f>
        <v>9019600</v>
      </c>
      <c r="C161" s="18">
        <f>SUM(C156:C159)</f>
        <v>486000</v>
      </c>
      <c r="D161" s="18">
        <f>SUM(D156:D159)</f>
        <v>766666</v>
      </c>
      <c r="E161" s="18">
        <f>SUM(E156:E159)</f>
        <v>1082352</v>
      </c>
      <c r="F161" s="18"/>
      <c r="G161" s="18">
        <f>SUM(G156:G160)</f>
        <v>53311.312000000005</v>
      </c>
      <c r="H161" s="18">
        <f>SUM(H156:H160)</f>
        <v>811764</v>
      </c>
      <c r="I161" s="18">
        <f>SUM(I156:I160)</f>
        <v>12219693.311999999</v>
      </c>
    </row>
    <row r="162" spans="1:9" x14ac:dyDescent="0.25">
      <c r="A162" s="9"/>
      <c r="B162" s="33"/>
      <c r="C162" s="33"/>
      <c r="D162" s="33"/>
      <c r="E162" s="33"/>
      <c r="F162" s="33"/>
      <c r="G162" s="33"/>
      <c r="H162" s="33"/>
      <c r="I162" s="34"/>
    </row>
    <row r="163" spans="1:9" x14ac:dyDescent="0.25">
      <c r="A163" s="9" t="s">
        <v>62</v>
      </c>
      <c r="I163" s="12"/>
    </row>
    <row r="164" spans="1:9" x14ac:dyDescent="0.25">
      <c r="A164" s="9"/>
      <c r="D164" s="19">
        <v>8.3299999999999999E-2</v>
      </c>
      <c r="E164" s="19">
        <v>8.3299999999999999E-2</v>
      </c>
      <c r="F164" s="19"/>
      <c r="G164" s="20">
        <v>0.01</v>
      </c>
      <c r="H164" s="19">
        <v>4.1700000000000001E-2</v>
      </c>
      <c r="I164" s="12"/>
    </row>
    <row r="165" spans="1:9" ht="15" x14ac:dyDescent="0.25">
      <c r="A165" s="21" t="s">
        <v>39</v>
      </c>
      <c r="B165" s="3" t="s">
        <v>40</v>
      </c>
      <c r="C165" s="3" t="s">
        <v>41</v>
      </c>
      <c r="D165" s="3" t="s">
        <v>58</v>
      </c>
      <c r="E165" s="3" t="s">
        <v>42</v>
      </c>
      <c r="F165" s="3"/>
      <c r="G165" s="3" t="s">
        <v>59</v>
      </c>
      <c r="H165" s="3" t="s">
        <v>43</v>
      </c>
      <c r="I165" s="4" t="s">
        <v>46</v>
      </c>
    </row>
    <row r="166" spans="1:9" x14ac:dyDescent="0.25">
      <c r="A166" s="16" t="s">
        <v>109</v>
      </c>
      <c r="B166" s="2">
        <v>2205600</v>
      </c>
      <c r="C166" s="2">
        <v>162000</v>
      </c>
      <c r="D166" s="2">
        <f>+(B166+C166)*$D$138</f>
        <v>197221.08</v>
      </c>
      <c r="E166" s="2">
        <f>+(B166+C166)*$E$37</f>
        <v>197221.08</v>
      </c>
      <c r="F166" s="2"/>
      <c r="G166" s="2">
        <f>+(B166+C166)*$G$37</f>
        <v>23676</v>
      </c>
      <c r="H166" s="2">
        <f>+B166*$H$138</f>
        <v>91973.52</v>
      </c>
      <c r="I166" s="17">
        <f>+D166+E166+G166+H166</f>
        <v>510091.68</v>
      </c>
    </row>
    <row r="167" spans="1:9" x14ac:dyDescent="0.25">
      <c r="A167" s="16" t="s">
        <v>67</v>
      </c>
      <c r="B167" s="2">
        <v>3308400</v>
      </c>
      <c r="C167" s="2">
        <v>0</v>
      </c>
      <c r="D167" s="2">
        <f t="shared" ref="D167:D169" si="60">+(B167+C167)*$D$138</f>
        <v>275589.71999999997</v>
      </c>
      <c r="E167" s="2">
        <f t="shared" ref="E167:E169" si="61">+(B167+C167)*$E$37</f>
        <v>275589.71999999997</v>
      </c>
      <c r="F167" s="2"/>
      <c r="G167" s="2">
        <f t="shared" ref="G167:G169" si="62">+(B167+C167)*$G$37</f>
        <v>33084</v>
      </c>
      <c r="H167" s="2">
        <f t="shared" ref="H167:H169" si="63">+B167*$H$138</f>
        <v>137960.28</v>
      </c>
      <c r="I167" s="17">
        <f t="shared" ref="I167:I169" si="64">+D167+E167+G167+H167</f>
        <v>722223.72</v>
      </c>
    </row>
    <row r="168" spans="1:9" x14ac:dyDescent="0.25">
      <c r="A168" s="16" t="s">
        <v>266</v>
      </c>
      <c r="B168" s="2">
        <v>1300000</v>
      </c>
      <c r="C168" s="2">
        <v>162000</v>
      </c>
      <c r="D168" s="2">
        <f t="shared" si="60"/>
        <v>121784.6</v>
      </c>
      <c r="E168" s="2">
        <f t="shared" si="61"/>
        <v>121784.6</v>
      </c>
      <c r="F168" s="2"/>
      <c r="G168" s="2">
        <f t="shared" si="62"/>
        <v>14620</v>
      </c>
      <c r="H168" s="2">
        <f t="shared" si="63"/>
        <v>54210</v>
      </c>
      <c r="I168" s="17">
        <f t="shared" si="64"/>
        <v>312399.2</v>
      </c>
    </row>
    <row r="169" spans="1:9" x14ac:dyDescent="0.25">
      <c r="A169" s="16" t="s">
        <v>74</v>
      </c>
      <c r="B169" s="2">
        <v>2205600</v>
      </c>
      <c r="C169" s="2">
        <v>162000</v>
      </c>
      <c r="D169" s="2">
        <f t="shared" si="60"/>
        <v>197221.08</v>
      </c>
      <c r="E169" s="2">
        <f t="shared" si="61"/>
        <v>197221.08</v>
      </c>
      <c r="F169" s="2"/>
      <c r="G169" s="2">
        <f t="shared" si="62"/>
        <v>23676</v>
      </c>
      <c r="H169" s="2">
        <f t="shared" si="63"/>
        <v>91973.52</v>
      </c>
      <c r="I169" s="17">
        <f t="shared" si="64"/>
        <v>510091.68</v>
      </c>
    </row>
    <row r="170" spans="1:9" ht="15" x14ac:dyDescent="0.25">
      <c r="A170" s="32" t="s">
        <v>61</v>
      </c>
      <c r="B170" s="2"/>
      <c r="C170" s="1"/>
      <c r="D170" s="18">
        <f>SUM(D166:D169)</f>
        <v>791816.47999999986</v>
      </c>
      <c r="E170" s="18">
        <f>SUM(E166:E169)</f>
        <v>791816.47999999986</v>
      </c>
      <c r="F170" s="18"/>
      <c r="G170" s="18">
        <f>SUM(G166:G169)</f>
        <v>95056</v>
      </c>
      <c r="H170" s="18">
        <f>SUM(H166:H169)</f>
        <v>376117.32</v>
      </c>
      <c r="I170" s="18">
        <f>SUM(I166:I169)</f>
        <v>2054806.2799999998</v>
      </c>
    </row>
    <row r="171" spans="1:9" ht="15" x14ac:dyDescent="0.25">
      <c r="A171" s="9"/>
      <c r="I171" s="23">
        <f>+I161+I170</f>
        <v>14274499.591999998</v>
      </c>
    </row>
    <row r="172" spans="1:9" ht="15" x14ac:dyDescent="0.25">
      <c r="A172" s="9"/>
      <c r="H172" s="5" t="s">
        <v>117</v>
      </c>
      <c r="I172" s="24">
        <v>0</v>
      </c>
    </row>
    <row r="173" spans="1:9" ht="15" x14ac:dyDescent="0.25">
      <c r="A173" s="25" t="s">
        <v>37</v>
      </c>
      <c r="B173" s="26" t="s">
        <v>47</v>
      </c>
      <c r="C173" s="26"/>
      <c r="D173" s="27" t="s">
        <v>46</v>
      </c>
      <c r="H173" s="5" t="s">
        <v>267</v>
      </c>
      <c r="I173" s="24">
        <v>0</v>
      </c>
    </row>
    <row r="174" spans="1:9" x14ac:dyDescent="0.25">
      <c r="A174" s="16" t="s">
        <v>110</v>
      </c>
      <c r="B174" s="2">
        <v>1050000</v>
      </c>
      <c r="C174" s="2"/>
      <c r="D174" s="2">
        <f>+B174+C174</f>
        <v>1050000</v>
      </c>
      <c r="I174" s="12"/>
    </row>
    <row r="175" spans="1:9" x14ac:dyDescent="0.25">
      <c r="A175" s="163" t="s">
        <v>116</v>
      </c>
      <c r="B175" s="164">
        <v>4664000</v>
      </c>
      <c r="C175" s="164"/>
      <c r="D175" s="2">
        <f>+B175+C175</f>
        <v>4664000</v>
      </c>
      <c r="I175" s="12"/>
    </row>
    <row r="176" spans="1:9" ht="15.75" thickBot="1" x14ac:dyDescent="0.3">
      <c r="A176" s="28" t="s">
        <v>51</v>
      </c>
      <c r="B176" s="29">
        <v>2000000</v>
      </c>
      <c r="C176" s="29"/>
      <c r="D176" s="29">
        <f>+B176+C176</f>
        <v>2000000</v>
      </c>
      <c r="E176" s="30"/>
      <c r="F176" s="30"/>
      <c r="G176" s="30"/>
      <c r="H176" s="30"/>
      <c r="I176" s="169">
        <f>+I171+I172+I173+D174+D175+D176</f>
        <v>21988499.592</v>
      </c>
    </row>
    <row r="178" spans="1:9" ht="15" thickBot="1" x14ac:dyDescent="0.3"/>
    <row r="179" spans="1:9" ht="15" x14ac:dyDescent="0.25">
      <c r="A179" s="6" t="s">
        <v>320</v>
      </c>
      <c r="B179" s="7"/>
      <c r="C179" s="7"/>
      <c r="D179" s="7"/>
      <c r="E179" s="7"/>
      <c r="F179" s="7"/>
      <c r="G179" s="7"/>
      <c r="H179" s="7"/>
      <c r="I179" s="8"/>
    </row>
    <row r="180" spans="1:9" ht="15" thickBot="1" x14ac:dyDescent="0.3">
      <c r="A180" s="9"/>
      <c r="D180" s="10">
        <v>8.5000000000000006E-2</v>
      </c>
      <c r="E180" s="11">
        <v>0.12</v>
      </c>
      <c r="F180" s="11"/>
      <c r="G180" s="10">
        <v>5.2199999999999998E-3</v>
      </c>
      <c r="H180" s="11">
        <v>0.09</v>
      </c>
      <c r="I180" s="12"/>
    </row>
    <row r="181" spans="1:9" ht="15" x14ac:dyDescent="0.25">
      <c r="A181" s="13" t="s">
        <v>39</v>
      </c>
      <c r="B181" s="14" t="s">
        <v>40</v>
      </c>
      <c r="C181" s="14" t="s">
        <v>41</v>
      </c>
      <c r="D181" s="14" t="s">
        <v>56</v>
      </c>
      <c r="E181" s="14" t="s">
        <v>45</v>
      </c>
      <c r="F181" s="14"/>
      <c r="G181" s="14" t="s">
        <v>44</v>
      </c>
      <c r="H181" s="14" t="s">
        <v>57</v>
      </c>
      <c r="I181" s="15" t="s">
        <v>46</v>
      </c>
    </row>
    <row r="182" spans="1:9" x14ac:dyDescent="0.25">
      <c r="A182" s="16" t="s">
        <v>109</v>
      </c>
      <c r="B182" s="2">
        <v>2205600</v>
      </c>
      <c r="C182" s="2">
        <v>162000</v>
      </c>
      <c r="D182" s="2">
        <f>+B182*$D$78</f>
        <v>187476</v>
      </c>
      <c r="E182" s="2">
        <f>+B182*$E$78</f>
        <v>264672</v>
      </c>
      <c r="F182" s="2"/>
      <c r="G182" s="2">
        <f>+B182*$G$154</f>
        <v>11513.232</v>
      </c>
      <c r="H182" s="2">
        <f>+B182*$H$27</f>
        <v>198504</v>
      </c>
      <c r="I182" s="17">
        <f>+B182+C182+D182+E182+G182+H182</f>
        <v>3029765.2319999998</v>
      </c>
    </row>
    <row r="183" spans="1:9" x14ac:dyDescent="0.25">
      <c r="A183" s="16" t="s">
        <v>67</v>
      </c>
      <c r="B183" s="2">
        <v>3308400</v>
      </c>
      <c r="C183" s="2">
        <v>0</v>
      </c>
      <c r="D183" s="2">
        <f t="shared" ref="D183:D186" si="65">+B183*$D$78</f>
        <v>281214</v>
      </c>
      <c r="E183" s="2">
        <f t="shared" ref="E183:E186" si="66">+B183*$E$78</f>
        <v>397008</v>
      </c>
      <c r="F183" s="2"/>
      <c r="G183" s="2">
        <f t="shared" ref="G183:G185" si="67">+B183*$G$154</f>
        <v>17269.847999999998</v>
      </c>
      <c r="H183" s="2">
        <f t="shared" ref="H183:H185" si="68">+B183*$H$27</f>
        <v>297756</v>
      </c>
      <c r="I183" s="17">
        <f t="shared" ref="I183:I186" si="69">+B183+C183+D183+E183+G183+H183</f>
        <v>4301647.8480000002</v>
      </c>
    </row>
    <row r="184" spans="1:9" x14ac:dyDescent="0.25">
      <c r="A184" s="16" t="s">
        <v>266</v>
      </c>
      <c r="B184" s="2">
        <v>1300000</v>
      </c>
      <c r="C184" s="2">
        <v>162000</v>
      </c>
      <c r="D184" s="2">
        <f t="shared" si="65"/>
        <v>110500.00000000001</v>
      </c>
      <c r="E184" s="2">
        <f t="shared" si="66"/>
        <v>156000</v>
      </c>
      <c r="F184" s="2"/>
      <c r="G184" s="2">
        <f t="shared" si="67"/>
        <v>6786</v>
      </c>
      <c r="H184" s="2">
        <f t="shared" si="68"/>
        <v>117000</v>
      </c>
      <c r="I184" s="17">
        <f t="shared" si="69"/>
        <v>1852286</v>
      </c>
    </row>
    <row r="185" spans="1:9" x14ac:dyDescent="0.25">
      <c r="A185" s="16" t="s">
        <v>74</v>
      </c>
      <c r="B185" s="2">
        <v>2205600</v>
      </c>
      <c r="C185" s="2">
        <v>162000</v>
      </c>
      <c r="D185" s="2">
        <f t="shared" si="65"/>
        <v>187476</v>
      </c>
      <c r="E185" s="2">
        <f t="shared" si="66"/>
        <v>264672</v>
      </c>
      <c r="F185" s="2"/>
      <c r="G185" s="2">
        <f t="shared" si="67"/>
        <v>11513.232</v>
      </c>
      <c r="H185" s="2">
        <f t="shared" si="68"/>
        <v>198504</v>
      </c>
      <c r="I185" s="17">
        <f t="shared" si="69"/>
        <v>3029765.2319999998</v>
      </c>
    </row>
    <row r="186" spans="1:9" x14ac:dyDescent="0.25">
      <c r="A186" s="16" t="s">
        <v>262</v>
      </c>
      <c r="B186" s="2"/>
      <c r="C186" s="2"/>
      <c r="D186" s="2">
        <f t="shared" si="65"/>
        <v>0</v>
      </c>
      <c r="E186" s="2">
        <f t="shared" si="66"/>
        <v>0</v>
      </c>
      <c r="F186" s="2"/>
      <c r="G186" s="2">
        <v>6229</v>
      </c>
      <c r="H186" s="2">
        <v>40</v>
      </c>
      <c r="I186" s="17">
        <f t="shared" si="69"/>
        <v>6269</v>
      </c>
    </row>
    <row r="187" spans="1:9" ht="15" x14ac:dyDescent="0.25">
      <c r="A187" s="32" t="s">
        <v>60</v>
      </c>
      <c r="B187" s="18">
        <f>SUM(B182:B185)</f>
        <v>9019600</v>
      </c>
      <c r="C187" s="18">
        <f>SUM(C182:C185)</f>
        <v>486000</v>
      </c>
      <c r="D187" s="18">
        <f>SUM(D182:D185)</f>
        <v>766666</v>
      </c>
      <c r="E187" s="18">
        <f>SUM(E182:E185)</f>
        <v>1082352</v>
      </c>
      <c r="F187" s="18"/>
      <c r="G187" s="18">
        <f>SUM(G182:G186)</f>
        <v>53311.312000000005</v>
      </c>
      <c r="H187" s="18">
        <f>SUM(H182:H186)</f>
        <v>811804</v>
      </c>
      <c r="I187" s="18">
        <f>SUM(I182:I186)</f>
        <v>12219733.311999999</v>
      </c>
    </row>
    <row r="188" spans="1:9" x14ac:dyDescent="0.25">
      <c r="A188" s="9"/>
      <c r="B188" s="33"/>
      <c r="C188" s="33"/>
      <c r="D188" s="33"/>
      <c r="E188" s="33"/>
      <c r="F188" s="33"/>
      <c r="G188" s="33"/>
      <c r="H188" s="33"/>
      <c r="I188" s="34"/>
    </row>
    <row r="189" spans="1:9" x14ac:dyDescent="0.25">
      <c r="A189" s="9" t="s">
        <v>62</v>
      </c>
      <c r="I189" s="12"/>
    </row>
    <row r="190" spans="1:9" x14ac:dyDescent="0.25">
      <c r="A190" s="9"/>
      <c r="D190" s="19">
        <v>8.3299999999999999E-2</v>
      </c>
      <c r="E190" s="19">
        <v>8.3299999999999999E-2</v>
      </c>
      <c r="F190" s="19"/>
      <c r="G190" s="20">
        <v>0.01</v>
      </c>
      <c r="H190" s="19">
        <v>4.1700000000000001E-2</v>
      </c>
      <c r="I190" s="12"/>
    </row>
    <row r="191" spans="1:9" ht="15" x14ac:dyDescent="0.25">
      <c r="A191" s="21" t="s">
        <v>39</v>
      </c>
      <c r="B191" s="3" t="s">
        <v>40</v>
      </c>
      <c r="C191" s="3" t="s">
        <v>41</v>
      </c>
      <c r="D191" s="3" t="s">
        <v>58</v>
      </c>
      <c r="E191" s="3" t="s">
        <v>42</v>
      </c>
      <c r="F191" s="3"/>
      <c r="G191" s="3" t="s">
        <v>59</v>
      </c>
      <c r="H191" s="3" t="s">
        <v>43</v>
      </c>
      <c r="I191" s="4" t="s">
        <v>46</v>
      </c>
    </row>
    <row r="192" spans="1:9" x14ac:dyDescent="0.25">
      <c r="A192" s="16" t="s">
        <v>109</v>
      </c>
      <c r="B192" s="2">
        <v>2205600</v>
      </c>
      <c r="C192" s="2">
        <v>162000</v>
      </c>
      <c r="D192" s="2">
        <f>+(B192+C192)*$D$138</f>
        <v>197221.08</v>
      </c>
      <c r="E192" s="2">
        <f>+(B192+C192)*$E$37</f>
        <v>197221.08</v>
      </c>
      <c r="F192" s="2"/>
      <c r="G192" s="2">
        <f>+(B192+C192)*$G$37</f>
        <v>23676</v>
      </c>
      <c r="H192" s="2">
        <f>+B192*$H$138</f>
        <v>91973.52</v>
      </c>
      <c r="I192" s="17">
        <f>+D192+E192+G192+H192</f>
        <v>510091.68</v>
      </c>
    </row>
    <row r="193" spans="1:9" x14ac:dyDescent="0.25">
      <c r="A193" s="16" t="s">
        <v>67</v>
      </c>
      <c r="B193" s="2">
        <v>3308400</v>
      </c>
      <c r="C193" s="2">
        <v>0</v>
      </c>
      <c r="D193" s="2">
        <f t="shared" ref="D193:D195" si="70">+(B193+C193)*$D$138</f>
        <v>275589.71999999997</v>
      </c>
      <c r="E193" s="2">
        <f t="shared" ref="E193:E195" si="71">+(B193+C193)*$E$37</f>
        <v>275589.71999999997</v>
      </c>
      <c r="F193" s="2"/>
      <c r="G193" s="2">
        <f t="shared" ref="G193:G195" si="72">+(B193+C193)*$G$37</f>
        <v>33084</v>
      </c>
      <c r="H193" s="2">
        <f t="shared" ref="H193:H195" si="73">+B193*$H$138</f>
        <v>137960.28</v>
      </c>
      <c r="I193" s="17">
        <f t="shared" ref="I193:I195" si="74">+D193+E193+G193+H193</f>
        <v>722223.72</v>
      </c>
    </row>
    <row r="194" spans="1:9" x14ac:dyDescent="0.25">
      <c r="A194" s="16" t="s">
        <v>266</v>
      </c>
      <c r="B194" s="2">
        <v>1300000</v>
      </c>
      <c r="C194" s="2">
        <v>162000</v>
      </c>
      <c r="D194" s="2">
        <f t="shared" si="70"/>
        <v>121784.6</v>
      </c>
      <c r="E194" s="2">
        <f t="shared" si="71"/>
        <v>121784.6</v>
      </c>
      <c r="F194" s="2"/>
      <c r="G194" s="2">
        <f t="shared" si="72"/>
        <v>14620</v>
      </c>
      <c r="H194" s="2">
        <f t="shared" si="73"/>
        <v>54210</v>
      </c>
      <c r="I194" s="17">
        <f t="shared" si="74"/>
        <v>312399.2</v>
      </c>
    </row>
    <row r="195" spans="1:9" x14ac:dyDescent="0.25">
      <c r="A195" s="16" t="s">
        <v>74</v>
      </c>
      <c r="B195" s="2">
        <v>2205600</v>
      </c>
      <c r="C195" s="2">
        <v>162000</v>
      </c>
      <c r="D195" s="2">
        <f t="shared" si="70"/>
        <v>197221.08</v>
      </c>
      <c r="E195" s="2">
        <f t="shared" si="71"/>
        <v>197221.08</v>
      </c>
      <c r="F195" s="2"/>
      <c r="G195" s="2">
        <f t="shared" si="72"/>
        <v>23676</v>
      </c>
      <c r="H195" s="2">
        <f t="shared" si="73"/>
        <v>91973.52</v>
      </c>
      <c r="I195" s="17">
        <f t="shared" si="74"/>
        <v>510091.68</v>
      </c>
    </row>
    <row r="196" spans="1:9" ht="15" x14ac:dyDescent="0.25">
      <c r="A196" s="32" t="s">
        <v>61</v>
      </c>
      <c r="B196" s="2"/>
      <c r="C196" s="1"/>
      <c r="D196" s="18">
        <f>SUM(D192:D195)</f>
        <v>791816.47999999986</v>
      </c>
      <c r="E196" s="18">
        <f>SUM(E192:E195)</f>
        <v>791816.47999999986</v>
      </c>
      <c r="F196" s="18"/>
      <c r="G196" s="18">
        <f>SUM(G192:G195)</f>
        <v>95056</v>
      </c>
      <c r="H196" s="18">
        <f>SUM(H192:H195)</f>
        <v>376117.32</v>
      </c>
      <c r="I196" s="18">
        <f>SUM(I192:I195)</f>
        <v>2054806.2799999998</v>
      </c>
    </row>
    <row r="197" spans="1:9" ht="15" x14ac:dyDescent="0.25">
      <c r="A197" s="9"/>
      <c r="I197" s="23">
        <f>+I187+I196</f>
        <v>14274539.591999998</v>
      </c>
    </row>
    <row r="198" spans="1:9" ht="15" x14ac:dyDescent="0.25">
      <c r="A198" s="9"/>
      <c r="H198" s="5" t="s">
        <v>117</v>
      </c>
      <c r="I198" s="24">
        <v>0</v>
      </c>
    </row>
    <row r="199" spans="1:9" ht="15" x14ac:dyDescent="0.25">
      <c r="A199" s="25" t="s">
        <v>37</v>
      </c>
      <c r="B199" s="26" t="s">
        <v>47</v>
      </c>
      <c r="C199" s="26"/>
      <c r="D199" s="27" t="s">
        <v>46</v>
      </c>
      <c r="H199" s="5" t="s">
        <v>267</v>
      </c>
      <c r="I199" s="24">
        <v>0</v>
      </c>
    </row>
    <row r="200" spans="1:9" x14ac:dyDescent="0.25">
      <c r="A200" s="16" t="s">
        <v>110</v>
      </c>
      <c r="B200" s="2">
        <v>1050000</v>
      </c>
      <c r="C200" s="2"/>
      <c r="D200" s="2">
        <f>+B200+C200</f>
        <v>1050000</v>
      </c>
      <c r="I200" s="12"/>
    </row>
    <row r="201" spans="1:9" x14ac:dyDescent="0.25">
      <c r="A201" s="163" t="s">
        <v>116</v>
      </c>
      <c r="B201" s="164">
        <v>4664000</v>
      </c>
      <c r="C201" s="164"/>
      <c r="D201" s="2">
        <f>+B201+C201</f>
        <v>4664000</v>
      </c>
      <c r="I201" s="12"/>
    </row>
    <row r="202" spans="1:9" ht="15.75" thickBot="1" x14ac:dyDescent="0.3">
      <c r="A202" s="28" t="s">
        <v>51</v>
      </c>
      <c r="B202" s="29">
        <v>2000000</v>
      </c>
      <c r="C202" s="29"/>
      <c r="D202" s="29">
        <f>+B202+C202</f>
        <v>2000000</v>
      </c>
      <c r="E202" s="30"/>
      <c r="F202" s="30"/>
      <c r="G202" s="30"/>
      <c r="H202" s="30"/>
      <c r="I202" s="169">
        <f>+I197+I198+I199+D200+D201+D202</f>
        <v>21988539.592</v>
      </c>
    </row>
    <row r="204" spans="1:9" ht="15" thickBot="1" x14ac:dyDescent="0.3"/>
    <row r="205" spans="1:9" ht="15" x14ac:dyDescent="0.25">
      <c r="A205" s="6" t="s">
        <v>331</v>
      </c>
      <c r="B205" s="7"/>
      <c r="C205" s="7"/>
      <c r="D205" s="7"/>
      <c r="E205" s="7"/>
      <c r="F205" s="7"/>
      <c r="G205" s="7"/>
      <c r="H205" s="7"/>
      <c r="I205" s="8"/>
    </row>
    <row r="206" spans="1:9" ht="15" thickBot="1" x14ac:dyDescent="0.3">
      <c r="A206" s="9"/>
      <c r="D206" s="10">
        <v>8.5000000000000006E-2</v>
      </c>
      <c r="E206" s="11">
        <v>0.12</v>
      </c>
      <c r="F206" s="11"/>
      <c r="G206" s="10">
        <v>5.2199999999999998E-3</v>
      </c>
      <c r="H206" s="11">
        <v>0.09</v>
      </c>
      <c r="I206" s="12"/>
    </row>
    <row r="207" spans="1:9" ht="15" x14ac:dyDescent="0.25">
      <c r="A207" s="13" t="s">
        <v>39</v>
      </c>
      <c r="B207" s="14" t="s">
        <v>40</v>
      </c>
      <c r="C207" s="14" t="s">
        <v>41</v>
      </c>
      <c r="D207" s="14" t="s">
        <v>56</v>
      </c>
      <c r="E207" s="14" t="s">
        <v>45</v>
      </c>
      <c r="F207" s="14"/>
      <c r="G207" s="14" t="s">
        <v>44</v>
      </c>
      <c r="H207" s="14" t="s">
        <v>57</v>
      </c>
      <c r="I207" s="15" t="s">
        <v>46</v>
      </c>
    </row>
    <row r="208" spans="1:9" x14ac:dyDescent="0.25">
      <c r="A208" s="16" t="s">
        <v>109</v>
      </c>
      <c r="B208" s="2">
        <v>2205600</v>
      </c>
      <c r="C208" s="2">
        <v>162000</v>
      </c>
      <c r="D208" s="2">
        <f>+B208*$D$78</f>
        <v>187476</v>
      </c>
      <c r="E208" s="2">
        <f>+B208*$E$78</f>
        <v>264672</v>
      </c>
      <c r="F208" s="2"/>
      <c r="G208" s="2">
        <f>+B208*$G$154</f>
        <v>11513.232</v>
      </c>
      <c r="H208" s="2">
        <f>+B208*$H$27</f>
        <v>198504</v>
      </c>
      <c r="I208" s="17">
        <f>+B208+C208+D208+E208+G208+H208</f>
        <v>3029765.2319999998</v>
      </c>
    </row>
    <row r="209" spans="1:9" x14ac:dyDescent="0.25">
      <c r="A209" s="16" t="s">
        <v>67</v>
      </c>
      <c r="B209" s="2">
        <v>3308400</v>
      </c>
      <c r="C209" s="2">
        <v>0</v>
      </c>
      <c r="D209" s="2">
        <f t="shared" ref="D209:D212" si="75">+B209*$D$78</f>
        <v>281214</v>
      </c>
      <c r="E209" s="2">
        <f t="shared" ref="E209:E212" si="76">+B209*$E$78</f>
        <v>397008</v>
      </c>
      <c r="F209" s="2"/>
      <c r="G209" s="2">
        <f t="shared" ref="G209:G211" si="77">+B209*$G$154</f>
        <v>17269.847999999998</v>
      </c>
      <c r="H209" s="2">
        <f t="shared" ref="H209:H211" si="78">+B209*$H$27</f>
        <v>297756</v>
      </c>
      <c r="I209" s="17">
        <f t="shared" ref="I209:I212" si="79">+B209+C209+D209+E209+G209+H209</f>
        <v>4301647.8480000002</v>
      </c>
    </row>
    <row r="210" spans="1:9" x14ac:dyDescent="0.25">
      <c r="A210" s="16" t="s">
        <v>266</v>
      </c>
      <c r="B210" s="2">
        <v>1300000</v>
      </c>
      <c r="C210" s="2">
        <v>162000</v>
      </c>
      <c r="D210" s="2">
        <f t="shared" si="75"/>
        <v>110500.00000000001</v>
      </c>
      <c r="E210" s="2">
        <f t="shared" si="76"/>
        <v>156000</v>
      </c>
      <c r="F210" s="2"/>
      <c r="G210" s="2">
        <f t="shared" si="77"/>
        <v>6786</v>
      </c>
      <c r="H210" s="2">
        <f t="shared" si="78"/>
        <v>117000</v>
      </c>
      <c r="I210" s="17">
        <f t="shared" si="79"/>
        <v>1852286</v>
      </c>
    </row>
    <row r="211" spans="1:9" x14ac:dyDescent="0.25">
      <c r="A211" s="16" t="s">
        <v>74</v>
      </c>
      <c r="B211" s="2">
        <v>2205600</v>
      </c>
      <c r="C211" s="2">
        <v>162000</v>
      </c>
      <c r="D211" s="2">
        <f t="shared" si="75"/>
        <v>187476</v>
      </c>
      <c r="E211" s="2">
        <f t="shared" si="76"/>
        <v>264672</v>
      </c>
      <c r="F211" s="2"/>
      <c r="G211" s="2">
        <f t="shared" si="77"/>
        <v>11513.232</v>
      </c>
      <c r="H211" s="2">
        <f t="shared" si="78"/>
        <v>198504</v>
      </c>
      <c r="I211" s="17">
        <f t="shared" si="79"/>
        <v>3029765.2319999998</v>
      </c>
    </row>
    <row r="212" spans="1:9" x14ac:dyDescent="0.25">
      <c r="A212" s="16" t="s">
        <v>262</v>
      </c>
      <c r="B212" s="2"/>
      <c r="C212" s="2"/>
      <c r="D212" s="2">
        <f t="shared" si="75"/>
        <v>0</v>
      </c>
      <c r="E212" s="2">
        <f t="shared" si="76"/>
        <v>0</v>
      </c>
      <c r="F212" s="2"/>
      <c r="G212" s="2">
        <v>6329</v>
      </c>
      <c r="H212" s="2">
        <v>40</v>
      </c>
      <c r="I212" s="17">
        <f t="shared" si="79"/>
        <v>6369</v>
      </c>
    </row>
    <row r="213" spans="1:9" ht="15" x14ac:dyDescent="0.25">
      <c r="A213" s="32" t="s">
        <v>60</v>
      </c>
      <c r="B213" s="18">
        <f>SUM(B208:B211)</f>
        <v>9019600</v>
      </c>
      <c r="C213" s="18">
        <f>SUM(C208:C211)</f>
        <v>486000</v>
      </c>
      <c r="D213" s="18">
        <f>SUM(D208:D211)</f>
        <v>766666</v>
      </c>
      <c r="E213" s="18">
        <f>SUM(E208:E211)</f>
        <v>1082352</v>
      </c>
      <c r="F213" s="18"/>
      <c r="G213" s="18">
        <f>SUM(G208:G212)</f>
        <v>53411.312000000005</v>
      </c>
      <c r="H213" s="18">
        <f>SUM(H208:H212)</f>
        <v>811804</v>
      </c>
      <c r="I213" s="18">
        <f>SUM(I208:I212)</f>
        <v>12219833.311999999</v>
      </c>
    </row>
    <row r="214" spans="1:9" x14ac:dyDescent="0.25">
      <c r="A214" s="9"/>
      <c r="B214" s="33"/>
      <c r="C214" s="33"/>
      <c r="D214" s="33"/>
      <c r="E214" s="33"/>
      <c r="F214" s="33"/>
      <c r="G214" s="33"/>
      <c r="H214" s="33"/>
      <c r="I214" s="34"/>
    </row>
    <row r="215" spans="1:9" x14ac:dyDescent="0.25">
      <c r="A215" s="9" t="s">
        <v>62</v>
      </c>
      <c r="I215" s="12"/>
    </row>
    <row r="216" spans="1:9" x14ac:dyDescent="0.25">
      <c r="A216" s="9"/>
      <c r="D216" s="19">
        <v>8.3299999999999999E-2</v>
      </c>
      <c r="E216" s="19">
        <v>8.3299999999999999E-2</v>
      </c>
      <c r="F216" s="19"/>
      <c r="G216" s="20">
        <v>0.01</v>
      </c>
      <c r="H216" s="19">
        <v>4.1700000000000001E-2</v>
      </c>
      <c r="I216" s="12"/>
    </row>
    <row r="217" spans="1:9" ht="15" x14ac:dyDescent="0.25">
      <c r="A217" s="21" t="s">
        <v>39</v>
      </c>
      <c r="B217" s="3" t="s">
        <v>40</v>
      </c>
      <c r="C217" s="3" t="s">
        <v>41</v>
      </c>
      <c r="D217" s="3" t="s">
        <v>58</v>
      </c>
      <c r="E217" s="3" t="s">
        <v>42</v>
      </c>
      <c r="F217" s="3"/>
      <c r="G217" s="3" t="s">
        <v>59</v>
      </c>
      <c r="H217" s="3" t="s">
        <v>43</v>
      </c>
      <c r="I217" s="4" t="s">
        <v>46</v>
      </c>
    </row>
    <row r="218" spans="1:9" x14ac:dyDescent="0.25">
      <c r="A218" s="16" t="s">
        <v>109</v>
      </c>
      <c r="B218" s="2">
        <v>2205600</v>
      </c>
      <c r="C218" s="2">
        <v>162000</v>
      </c>
      <c r="D218" s="2">
        <f>+(B218+C218)*$D$138</f>
        <v>197221.08</v>
      </c>
      <c r="E218" s="2">
        <f>+(B218+C218)*$E$37</f>
        <v>197221.08</v>
      </c>
      <c r="F218" s="2"/>
      <c r="G218" s="2">
        <f>+(B218+C218)*$G$37</f>
        <v>23676</v>
      </c>
      <c r="H218" s="2">
        <f>+B218*$H$138</f>
        <v>91973.52</v>
      </c>
      <c r="I218" s="17">
        <f>+D218+E218+G218+H218</f>
        <v>510091.68</v>
      </c>
    </row>
    <row r="219" spans="1:9" x14ac:dyDescent="0.25">
      <c r="A219" s="16" t="s">
        <v>67</v>
      </c>
      <c r="B219" s="2">
        <v>3308400</v>
      </c>
      <c r="C219" s="2">
        <v>0</v>
      </c>
      <c r="D219" s="2">
        <f t="shared" ref="D219:D221" si="80">+(B219+C219)*$D$138</f>
        <v>275589.71999999997</v>
      </c>
      <c r="E219" s="2">
        <f t="shared" ref="E219:E221" si="81">+(B219+C219)*$E$37</f>
        <v>275589.71999999997</v>
      </c>
      <c r="F219" s="2"/>
      <c r="G219" s="2">
        <f t="shared" ref="G219:G221" si="82">+(B219+C219)*$G$37</f>
        <v>33084</v>
      </c>
      <c r="H219" s="2">
        <f t="shared" ref="H219:H221" si="83">+B219*$H$138</f>
        <v>137960.28</v>
      </c>
      <c r="I219" s="17">
        <f t="shared" ref="I219:I221" si="84">+D219+E219+G219+H219</f>
        <v>722223.72</v>
      </c>
    </row>
    <row r="220" spans="1:9" x14ac:dyDescent="0.25">
      <c r="A220" s="16" t="s">
        <v>266</v>
      </c>
      <c r="B220" s="2">
        <v>1300000</v>
      </c>
      <c r="C220" s="2">
        <v>162000</v>
      </c>
      <c r="D220" s="2">
        <f t="shared" si="80"/>
        <v>121784.6</v>
      </c>
      <c r="E220" s="2">
        <f t="shared" si="81"/>
        <v>121784.6</v>
      </c>
      <c r="F220" s="2"/>
      <c r="G220" s="2">
        <f t="shared" si="82"/>
        <v>14620</v>
      </c>
      <c r="H220" s="2">
        <f t="shared" si="83"/>
        <v>54210</v>
      </c>
      <c r="I220" s="17">
        <f t="shared" si="84"/>
        <v>312399.2</v>
      </c>
    </row>
    <row r="221" spans="1:9" x14ac:dyDescent="0.25">
      <c r="A221" s="16" t="s">
        <v>74</v>
      </c>
      <c r="B221" s="2">
        <v>2205600</v>
      </c>
      <c r="C221" s="2">
        <v>162000</v>
      </c>
      <c r="D221" s="2">
        <f t="shared" si="80"/>
        <v>197221.08</v>
      </c>
      <c r="E221" s="2">
        <f t="shared" si="81"/>
        <v>197221.08</v>
      </c>
      <c r="F221" s="2"/>
      <c r="G221" s="2">
        <f t="shared" si="82"/>
        <v>23676</v>
      </c>
      <c r="H221" s="2">
        <f t="shared" si="83"/>
        <v>91973.52</v>
      </c>
      <c r="I221" s="17">
        <f t="shared" si="84"/>
        <v>510091.68</v>
      </c>
    </row>
    <row r="222" spans="1:9" ht="15" x14ac:dyDescent="0.25">
      <c r="A222" s="32" t="s">
        <v>61</v>
      </c>
      <c r="B222" s="2"/>
      <c r="C222" s="1"/>
      <c r="D222" s="18">
        <f>SUM(D218:D221)</f>
        <v>791816.47999999986</v>
      </c>
      <c r="E222" s="18">
        <f>SUM(E218:E221)</f>
        <v>791816.47999999986</v>
      </c>
      <c r="F222" s="18"/>
      <c r="G222" s="18">
        <f>SUM(G218:G221)</f>
        <v>95056</v>
      </c>
      <c r="H222" s="18">
        <f>SUM(H218:H221)</f>
        <v>376117.32</v>
      </c>
      <c r="I222" s="18">
        <f>SUM(I218:I221)</f>
        <v>2054806.2799999998</v>
      </c>
    </row>
    <row r="223" spans="1:9" ht="15" x14ac:dyDescent="0.25">
      <c r="A223" s="9"/>
      <c r="I223" s="23">
        <f>+I213+I222</f>
        <v>14274639.591999998</v>
      </c>
    </row>
    <row r="224" spans="1:9" ht="15" x14ac:dyDescent="0.25">
      <c r="A224" s="9"/>
      <c r="H224" s="5" t="s">
        <v>117</v>
      </c>
      <c r="I224" s="24">
        <v>0</v>
      </c>
    </row>
    <row r="225" spans="1:9" ht="15" x14ac:dyDescent="0.25">
      <c r="A225" s="25" t="s">
        <v>37</v>
      </c>
      <c r="B225" s="26" t="s">
        <v>47</v>
      </c>
      <c r="C225" s="26"/>
      <c r="D225" s="27" t="s">
        <v>46</v>
      </c>
      <c r="H225" s="5" t="s">
        <v>267</v>
      </c>
      <c r="I225" s="24">
        <v>0</v>
      </c>
    </row>
    <row r="226" spans="1:9" x14ac:dyDescent="0.25">
      <c r="A226" s="16" t="s">
        <v>110</v>
      </c>
      <c r="B226" s="2">
        <v>870000</v>
      </c>
      <c r="C226" s="2"/>
      <c r="D226" s="2">
        <f>+B226+C226</f>
        <v>870000</v>
      </c>
      <c r="I226" s="12"/>
    </row>
    <row r="227" spans="1:9" x14ac:dyDescent="0.25">
      <c r="A227" s="163" t="s">
        <v>116</v>
      </c>
      <c r="B227" s="164">
        <v>2798400</v>
      </c>
      <c r="C227" s="164"/>
      <c r="D227" s="2">
        <f>+B227+C227</f>
        <v>2798400</v>
      </c>
      <c r="I227" s="12"/>
    </row>
    <row r="228" spans="1:9" ht="15.75" thickBot="1" x14ac:dyDescent="0.3">
      <c r="A228" s="28" t="s">
        <v>51</v>
      </c>
      <c r="B228" s="29">
        <v>2000000</v>
      </c>
      <c r="C228" s="29"/>
      <c r="D228" s="29">
        <f>+B228+C228</f>
        <v>2000000</v>
      </c>
      <c r="E228" s="30"/>
      <c r="F228" s="30"/>
      <c r="G228" s="30"/>
      <c r="H228" s="30"/>
      <c r="I228" s="169">
        <f>+I223+I224+I225+D226+D227+D228</f>
        <v>19943039.592</v>
      </c>
    </row>
    <row r="229" spans="1:9" ht="15" thickBot="1" x14ac:dyDescent="0.3"/>
    <row r="230" spans="1:9" ht="15" x14ac:dyDescent="0.25">
      <c r="A230" s="6" t="s">
        <v>339</v>
      </c>
      <c r="B230" s="7"/>
      <c r="C230" s="7"/>
      <c r="D230" s="7"/>
      <c r="E230" s="7"/>
      <c r="F230" s="7"/>
      <c r="G230" s="7"/>
      <c r="H230" s="7"/>
      <c r="I230" s="8"/>
    </row>
    <row r="231" spans="1:9" ht="15" thickBot="1" x14ac:dyDescent="0.3">
      <c r="A231" s="9"/>
      <c r="D231" s="10">
        <v>8.5000000000000006E-2</v>
      </c>
      <c r="E231" s="11">
        <v>0.12</v>
      </c>
      <c r="F231" s="11"/>
      <c r="G231" s="10">
        <v>5.2199999999999998E-3</v>
      </c>
      <c r="H231" s="11">
        <v>0.09</v>
      </c>
      <c r="I231" s="12"/>
    </row>
    <row r="232" spans="1:9" ht="15" x14ac:dyDescent="0.25">
      <c r="A232" s="13" t="s">
        <v>39</v>
      </c>
      <c r="B232" s="14" t="s">
        <v>40</v>
      </c>
      <c r="C232" s="14" t="s">
        <v>41</v>
      </c>
      <c r="D232" s="14" t="s">
        <v>56</v>
      </c>
      <c r="E232" s="14" t="s">
        <v>45</v>
      </c>
      <c r="F232" s="14"/>
      <c r="G232" s="14" t="s">
        <v>44</v>
      </c>
      <c r="H232" s="14" t="s">
        <v>57</v>
      </c>
      <c r="I232" s="15" t="s">
        <v>46</v>
      </c>
    </row>
    <row r="233" spans="1:9" x14ac:dyDescent="0.25">
      <c r="A233" s="16" t="s">
        <v>109</v>
      </c>
      <c r="B233" s="2">
        <v>2500000</v>
      </c>
      <c r="C233" s="2">
        <v>162000</v>
      </c>
      <c r="D233" s="2">
        <f>+B233*$D$78</f>
        <v>212500.00000000003</v>
      </c>
      <c r="E233" s="2">
        <f>+B233*$E$78</f>
        <v>300000</v>
      </c>
      <c r="F233" s="2"/>
      <c r="G233" s="2">
        <f>+B233*$G$154</f>
        <v>13050</v>
      </c>
      <c r="H233" s="2">
        <f>+B233*$H$27</f>
        <v>225000</v>
      </c>
      <c r="I233" s="17">
        <f>+B233+C233+D233+E233+G233+H233</f>
        <v>3412550</v>
      </c>
    </row>
    <row r="234" spans="1:9" x14ac:dyDescent="0.25">
      <c r="A234" s="16" t="s">
        <v>67</v>
      </c>
      <c r="B234" s="2">
        <v>3308400</v>
      </c>
      <c r="C234" s="2">
        <v>0</v>
      </c>
      <c r="D234" s="2">
        <v>280164</v>
      </c>
      <c r="E234" s="2">
        <v>395664</v>
      </c>
      <c r="F234" s="2"/>
      <c r="G234" s="2">
        <f t="shared" ref="G234:G236" si="85">+B234*$G$154</f>
        <v>17269.847999999998</v>
      </c>
      <c r="H234" s="2">
        <v>297000</v>
      </c>
      <c r="I234" s="17">
        <f t="shared" ref="I234:I237" si="86">+B234+C234+D234+E234+G234+H234</f>
        <v>4298497.8480000002</v>
      </c>
    </row>
    <row r="235" spans="1:9" x14ac:dyDescent="0.25">
      <c r="A235" s="16" t="s">
        <v>266</v>
      </c>
      <c r="B235" s="2">
        <v>1300000</v>
      </c>
      <c r="C235" s="2">
        <v>162000</v>
      </c>
      <c r="D235" s="2">
        <f t="shared" ref="D235:D237" si="87">+B235*$D$78</f>
        <v>110500.00000000001</v>
      </c>
      <c r="E235" s="2">
        <f t="shared" ref="E235:E237" si="88">+B235*$E$78</f>
        <v>156000</v>
      </c>
      <c r="F235" s="2"/>
      <c r="G235" s="2">
        <f t="shared" si="85"/>
        <v>6786</v>
      </c>
      <c r="H235" s="2">
        <f t="shared" ref="H235:H236" si="89">+B235*$H$27</f>
        <v>117000</v>
      </c>
      <c r="I235" s="17">
        <f t="shared" si="86"/>
        <v>1852286</v>
      </c>
    </row>
    <row r="236" spans="1:9" x14ac:dyDescent="0.25">
      <c r="A236" s="16" t="s">
        <v>74</v>
      </c>
      <c r="B236" s="2">
        <v>2500000</v>
      </c>
      <c r="C236" s="2">
        <v>162000</v>
      </c>
      <c r="D236" s="2">
        <f t="shared" si="87"/>
        <v>212500.00000000003</v>
      </c>
      <c r="E236" s="2">
        <f t="shared" si="88"/>
        <v>300000</v>
      </c>
      <c r="F236" s="2"/>
      <c r="G236" s="2">
        <f t="shared" si="85"/>
        <v>13050</v>
      </c>
      <c r="H236" s="2">
        <f t="shared" si="89"/>
        <v>225000</v>
      </c>
      <c r="I236" s="17">
        <f t="shared" si="86"/>
        <v>3412550</v>
      </c>
    </row>
    <row r="237" spans="1:9" x14ac:dyDescent="0.25">
      <c r="A237" s="16" t="s">
        <v>262</v>
      </c>
      <c r="B237" s="2"/>
      <c r="C237" s="2"/>
      <c r="D237" s="2">
        <f t="shared" si="87"/>
        <v>0</v>
      </c>
      <c r="E237" s="2">
        <f t="shared" si="88"/>
        <v>0</v>
      </c>
      <c r="F237" s="2"/>
      <c r="G237" s="2">
        <v>13744</v>
      </c>
      <c r="H237" s="2">
        <v>0</v>
      </c>
      <c r="I237" s="17">
        <f t="shared" si="86"/>
        <v>13744</v>
      </c>
    </row>
    <row r="238" spans="1:9" ht="15" x14ac:dyDescent="0.25">
      <c r="A238" s="32" t="s">
        <v>60</v>
      </c>
      <c r="B238" s="18">
        <f>SUM(B233:B236)</f>
        <v>9608400</v>
      </c>
      <c r="C238" s="18">
        <f>SUM(C233:C236)</f>
        <v>486000</v>
      </c>
      <c r="D238" s="18">
        <f>SUM(D233:D236)</f>
        <v>815664</v>
      </c>
      <c r="E238" s="18">
        <f>SUM(E233:E236)</f>
        <v>1151664</v>
      </c>
      <c r="F238" s="18"/>
      <c r="G238" s="18">
        <f>SUM(G233:G237)</f>
        <v>63899.847999999998</v>
      </c>
      <c r="H238" s="18">
        <f>SUM(H233:H237)</f>
        <v>864000</v>
      </c>
      <c r="I238" s="18">
        <f>SUM(I233:I237)</f>
        <v>12989627.848000001</v>
      </c>
    </row>
    <row r="239" spans="1:9" x14ac:dyDescent="0.25">
      <c r="A239" s="9"/>
      <c r="B239" s="33"/>
      <c r="C239" s="33"/>
      <c r="D239" s="33"/>
      <c r="E239" s="33"/>
      <c r="F239" s="33"/>
      <c r="G239" s="33"/>
      <c r="H239" s="33"/>
      <c r="I239" s="34"/>
    </row>
    <row r="240" spans="1:9" x14ac:dyDescent="0.25">
      <c r="A240" s="9" t="s">
        <v>62</v>
      </c>
      <c r="I240" s="12"/>
    </row>
    <row r="241" spans="1:9" x14ac:dyDescent="0.25">
      <c r="A241" s="9"/>
      <c r="D241" s="19">
        <v>8.3299999999999999E-2</v>
      </c>
      <c r="E241" s="19">
        <v>8.3299999999999999E-2</v>
      </c>
      <c r="F241" s="19"/>
      <c r="G241" s="20">
        <v>0.01</v>
      </c>
      <c r="H241" s="19">
        <v>4.1700000000000001E-2</v>
      </c>
      <c r="I241" s="12"/>
    </row>
    <row r="242" spans="1:9" ht="15" x14ac:dyDescent="0.25">
      <c r="A242" s="21" t="s">
        <v>39</v>
      </c>
      <c r="B242" s="3" t="s">
        <v>40</v>
      </c>
      <c r="C242" s="3" t="s">
        <v>41</v>
      </c>
      <c r="D242" s="3" t="s">
        <v>58</v>
      </c>
      <c r="E242" s="3" t="s">
        <v>42</v>
      </c>
      <c r="F242" s="3"/>
      <c r="G242" s="3" t="s">
        <v>59</v>
      </c>
      <c r="H242" s="3" t="s">
        <v>43</v>
      </c>
      <c r="I242" s="4" t="s">
        <v>46</v>
      </c>
    </row>
    <row r="243" spans="1:9" x14ac:dyDescent="0.25">
      <c r="A243" s="16" t="s">
        <v>109</v>
      </c>
      <c r="B243" s="2">
        <v>2500000</v>
      </c>
      <c r="C243" s="2">
        <v>162000</v>
      </c>
      <c r="D243" s="2">
        <f>+(B243+C243)*$D$138</f>
        <v>221744.6</v>
      </c>
      <c r="E243" s="2">
        <f>+(B243+C243)*$E$37</f>
        <v>221744.6</v>
      </c>
      <c r="F243" s="2"/>
      <c r="G243" s="2">
        <f>+(B243+C243)*$G$37</f>
        <v>26620</v>
      </c>
      <c r="H243" s="2">
        <f>+B243*$H$138</f>
        <v>104250</v>
      </c>
      <c r="I243" s="17">
        <f>+D243+E243+G243+H243</f>
        <v>574359.19999999995</v>
      </c>
    </row>
    <row r="244" spans="1:9" x14ac:dyDescent="0.25">
      <c r="A244" s="16" t="s">
        <v>67</v>
      </c>
      <c r="B244" s="2">
        <v>3308400</v>
      </c>
      <c r="C244" s="2">
        <v>0</v>
      </c>
      <c r="D244" s="2">
        <f t="shared" ref="D244:D245" si="90">+(B244+C244)*$D$138</f>
        <v>275589.71999999997</v>
      </c>
      <c r="E244" s="2">
        <f t="shared" ref="E244:E245" si="91">+(B244+C244)*$E$37</f>
        <v>275589.71999999997</v>
      </c>
      <c r="F244" s="2"/>
      <c r="G244" s="2">
        <f t="shared" ref="G244:G245" si="92">+(B244+C244)*$G$37</f>
        <v>33084</v>
      </c>
      <c r="H244" s="2">
        <f t="shared" ref="H244:H246" si="93">+B244*$H$138</f>
        <v>137960.28</v>
      </c>
      <c r="I244" s="17">
        <f t="shared" ref="I244:I246" si="94">+D244+E244+G244+H244</f>
        <v>722223.72</v>
      </c>
    </row>
    <row r="245" spans="1:9" x14ac:dyDescent="0.25">
      <c r="A245" s="16" t="s">
        <v>266</v>
      </c>
      <c r="B245" s="2">
        <v>1300000</v>
      </c>
      <c r="C245" s="2">
        <v>162000</v>
      </c>
      <c r="D245" s="2">
        <f t="shared" si="90"/>
        <v>121784.6</v>
      </c>
      <c r="E245" s="2">
        <f t="shared" si="91"/>
        <v>121784.6</v>
      </c>
      <c r="F245" s="2"/>
      <c r="G245" s="2">
        <f t="shared" si="92"/>
        <v>14620</v>
      </c>
      <c r="H245" s="2">
        <f t="shared" si="93"/>
        <v>54210</v>
      </c>
      <c r="I245" s="17">
        <f t="shared" si="94"/>
        <v>312399.2</v>
      </c>
    </row>
    <row r="246" spans="1:9" x14ac:dyDescent="0.25">
      <c r="A246" s="16" t="s">
        <v>74</v>
      </c>
      <c r="B246" s="2">
        <v>2500000</v>
      </c>
      <c r="C246" s="2">
        <v>162000</v>
      </c>
      <c r="D246" s="2">
        <f>+(B246+C246)*$D$138+1</f>
        <v>221745.6</v>
      </c>
      <c r="E246" s="2">
        <f>+(B246+C246)*$E$37+1</f>
        <v>221745.6</v>
      </c>
      <c r="F246" s="2"/>
      <c r="G246" s="2">
        <f>+(B246+C246)*$G$37+1</f>
        <v>26621</v>
      </c>
      <c r="H246" s="2">
        <f t="shared" si="93"/>
        <v>104250</v>
      </c>
      <c r="I246" s="17">
        <f t="shared" si="94"/>
        <v>574362.19999999995</v>
      </c>
    </row>
    <row r="247" spans="1:9" ht="15" x14ac:dyDescent="0.25">
      <c r="A247" s="32" t="s">
        <v>61</v>
      </c>
      <c r="B247" s="2"/>
      <c r="C247" s="1"/>
      <c r="D247" s="18">
        <f>SUM(D243:D246)</f>
        <v>840864.5199999999</v>
      </c>
      <c r="E247" s="18">
        <f>SUM(E243:E246)</f>
        <v>840864.5199999999</v>
      </c>
      <c r="F247" s="18"/>
      <c r="G247" s="18">
        <f>SUM(G243:G246)</f>
        <v>100945</v>
      </c>
      <c r="H247" s="18">
        <f>SUM(H243:H246)</f>
        <v>400670.28</v>
      </c>
      <c r="I247" s="18">
        <f>SUM(I243:I246)</f>
        <v>2183344.3199999998</v>
      </c>
    </row>
    <row r="248" spans="1:9" ht="15" x14ac:dyDescent="0.25">
      <c r="A248" s="9"/>
      <c r="I248" s="23">
        <f>+I238+I247</f>
        <v>15172972.168000001</v>
      </c>
    </row>
    <row r="249" spans="1:9" ht="15" x14ac:dyDescent="0.25">
      <c r="A249" s="9"/>
      <c r="H249" s="5" t="s">
        <v>117</v>
      </c>
      <c r="I249" s="24">
        <v>0</v>
      </c>
    </row>
    <row r="250" spans="1:9" ht="15" x14ac:dyDescent="0.25">
      <c r="A250" s="25" t="s">
        <v>37</v>
      </c>
      <c r="B250" s="26" t="s">
        <v>47</v>
      </c>
      <c r="C250" s="26"/>
      <c r="D250" s="27" t="s">
        <v>46</v>
      </c>
      <c r="H250" s="5" t="s">
        <v>267</v>
      </c>
      <c r="I250" s="24">
        <v>0</v>
      </c>
    </row>
    <row r="251" spans="1:9" x14ac:dyDescent="0.25">
      <c r="A251" s="16" t="s">
        <v>110</v>
      </c>
      <c r="B251" s="2">
        <v>3030000</v>
      </c>
      <c r="C251" s="2"/>
      <c r="D251" s="2">
        <f>+B251+C251</f>
        <v>3030000</v>
      </c>
      <c r="I251" s="12"/>
    </row>
    <row r="252" spans="1:9" x14ac:dyDescent="0.25">
      <c r="A252" s="163" t="s">
        <v>116</v>
      </c>
      <c r="B252" s="164">
        <v>4664000</v>
      </c>
      <c r="C252" s="164"/>
      <c r="D252" s="2">
        <f>+B252+C252</f>
        <v>4664000</v>
      </c>
      <c r="I252" s="12"/>
    </row>
    <row r="253" spans="1:9" ht="15.75" thickBot="1" x14ac:dyDescent="0.3">
      <c r="A253" s="28" t="s">
        <v>51</v>
      </c>
      <c r="B253" s="29">
        <v>4000000</v>
      </c>
      <c r="C253" s="29"/>
      <c r="D253" s="29">
        <f>+B253+C253</f>
        <v>4000000</v>
      </c>
      <c r="E253" s="30"/>
      <c r="F253" s="30"/>
      <c r="G253" s="30"/>
      <c r="H253" s="30"/>
      <c r="I253" s="169">
        <f>+I248+I249+I250+D251+D252+D253</f>
        <v>26866972.168000001</v>
      </c>
    </row>
    <row r="254" spans="1:9" ht="15" thickBot="1" x14ac:dyDescent="0.3"/>
    <row r="255" spans="1:9" ht="15" x14ac:dyDescent="0.25">
      <c r="A255" s="6" t="s">
        <v>352</v>
      </c>
      <c r="B255" s="7"/>
      <c r="C255" s="7"/>
      <c r="D255" s="7"/>
      <c r="E255" s="7"/>
      <c r="F255" s="7"/>
      <c r="G255" s="7"/>
      <c r="H255" s="7"/>
      <c r="I255" s="8"/>
    </row>
    <row r="256" spans="1:9" ht="15" thickBot="1" x14ac:dyDescent="0.3">
      <c r="A256" s="9"/>
      <c r="D256" s="10">
        <v>8.5000000000000006E-2</v>
      </c>
      <c r="E256" s="11">
        <v>0.12</v>
      </c>
      <c r="F256" s="11"/>
      <c r="G256" s="10">
        <v>5.2199999999999998E-3</v>
      </c>
      <c r="H256" s="11">
        <v>0.09</v>
      </c>
      <c r="I256" s="12"/>
    </row>
    <row r="257" spans="1:9" ht="15" x14ac:dyDescent="0.25">
      <c r="A257" s="13" t="s">
        <v>39</v>
      </c>
      <c r="B257" s="14" t="s">
        <v>40</v>
      </c>
      <c r="C257" s="14" t="s">
        <v>41</v>
      </c>
      <c r="D257" s="14" t="s">
        <v>56</v>
      </c>
      <c r="E257" s="14" t="s">
        <v>45</v>
      </c>
      <c r="F257" s="14"/>
      <c r="G257" s="14" t="s">
        <v>44</v>
      </c>
      <c r="H257" s="14" t="s">
        <v>57</v>
      </c>
      <c r="I257" s="15" t="s">
        <v>46</v>
      </c>
    </row>
    <row r="258" spans="1:9" x14ac:dyDescent="0.25">
      <c r="A258" s="16" t="s">
        <v>109</v>
      </c>
      <c r="B258" s="2">
        <v>2500000</v>
      </c>
      <c r="C258" s="2">
        <v>162000</v>
      </c>
      <c r="D258" s="2">
        <f>+B258*$D$78</f>
        <v>212500.00000000003</v>
      </c>
      <c r="E258" s="2">
        <f>+B258*$E$78</f>
        <v>300000</v>
      </c>
      <c r="F258" s="2"/>
      <c r="G258" s="2">
        <f>+B258*$G$154</f>
        <v>13050</v>
      </c>
      <c r="H258" s="2">
        <f>+B258*$H$27</f>
        <v>225000</v>
      </c>
      <c r="I258" s="17">
        <f>+B258+C258+D258+E258+G258+H258</f>
        <v>3412550</v>
      </c>
    </row>
    <row r="259" spans="1:9" x14ac:dyDescent="0.25">
      <c r="A259" s="16" t="s">
        <v>67</v>
      </c>
      <c r="B259" s="2">
        <v>3308400</v>
      </c>
      <c r="C259" s="2">
        <v>0</v>
      </c>
      <c r="D259" s="2">
        <v>280164</v>
      </c>
      <c r="E259" s="2">
        <v>395664</v>
      </c>
      <c r="F259" s="2"/>
      <c r="G259" s="2">
        <f t="shared" ref="G259:G261" si="95">+B259*$G$154</f>
        <v>17269.847999999998</v>
      </c>
      <c r="H259" s="2">
        <v>297000</v>
      </c>
      <c r="I259" s="17">
        <f t="shared" ref="I259:I262" si="96">+B259+C259+D259+E259+G259+H259</f>
        <v>4298497.8480000002</v>
      </c>
    </row>
    <row r="260" spans="1:9" x14ac:dyDescent="0.25">
      <c r="A260" s="16" t="s">
        <v>266</v>
      </c>
      <c r="B260" s="2">
        <v>1300000</v>
      </c>
      <c r="C260" s="2">
        <v>162000</v>
      </c>
      <c r="D260" s="2">
        <f t="shared" ref="D260:D262" si="97">+B260*$D$78</f>
        <v>110500.00000000001</v>
      </c>
      <c r="E260" s="2">
        <f t="shared" ref="E260:E262" si="98">+B260*$E$78</f>
        <v>156000</v>
      </c>
      <c r="F260" s="2"/>
      <c r="G260" s="2">
        <f t="shared" si="95"/>
        <v>6786</v>
      </c>
      <c r="H260" s="2">
        <f t="shared" ref="H260:H261" si="99">+B260*$H$27</f>
        <v>117000</v>
      </c>
      <c r="I260" s="17">
        <f t="shared" si="96"/>
        <v>1852286</v>
      </c>
    </row>
    <row r="261" spans="1:9" x14ac:dyDescent="0.25">
      <c r="A261" s="16" t="s">
        <v>74</v>
      </c>
      <c r="B261" s="2">
        <v>2500000</v>
      </c>
      <c r="C261" s="2">
        <v>162000</v>
      </c>
      <c r="D261" s="2">
        <f t="shared" si="97"/>
        <v>212500.00000000003</v>
      </c>
      <c r="E261" s="2">
        <f t="shared" si="98"/>
        <v>300000</v>
      </c>
      <c r="F261" s="2"/>
      <c r="G261" s="2">
        <f t="shared" si="95"/>
        <v>13050</v>
      </c>
      <c r="H261" s="2">
        <f t="shared" si="99"/>
        <v>225000</v>
      </c>
      <c r="I261" s="17">
        <f t="shared" si="96"/>
        <v>3412550</v>
      </c>
    </row>
    <row r="262" spans="1:9" x14ac:dyDescent="0.25">
      <c r="A262" s="16" t="s">
        <v>262</v>
      </c>
      <c r="B262" s="2"/>
      <c r="C262" s="2"/>
      <c r="D262" s="2">
        <f t="shared" si="97"/>
        <v>0</v>
      </c>
      <c r="E262" s="2">
        <f t="shared" si="98"/>
        <v>0</v>
      </c>
      <c r="F262" s="2"/>
      <c r="G262" s="2">
        <v>13744</v>
      </c>
      <c r="H262" s="2">
        <v>0</v>
      </c>
      <c r="I262" s="17">
        <f t="shared" si="96"/>
        <v>13744</v>
      </c>
    </row>
    <row r="263" spans="1:9" ht="15" x14ac:dyDescent="0.25">
      <c r="A263" s="32" t="s">
        <v>60</v>
      </c>
      <c r="B263" s="18">
        <f>SUM(B258:B261)</f>
        <v>9608400</v>
      </c>
      <c r="C263" s="18">
        <f>SUM(C258:C261)</f>
        <v>486000</v>
      </c>
      <c r="D263" s="18">
        <f>SUM(D258:D261)</f>
        <v>815664</v>
      </c>
      <c r="E263" s="18">
        <f>SUM(E258:E261)</f>
        <v>1151664</v>
      </c>
      <c r="F263" s="18"/>
      <c r="G263" s="18">
        <f>SUM(G258:G262)</f>
        <v>63899.847999999998</v>
      </c>
      <c r="H263" s="18">
        <f>SUM(H258:H262)</f>
        <v>864000</v>
      </c>
      <c r="I263" s="18">
        <f>SUM(I258:I262)</f>
        <v>12989627.848000001</v>
      </c>
    </row>
    <row r="264" spans="1:9" x14ac:dyDescent="0.25">
      <c r="A264" s="9"/>
      <c r="B264" s="33"/>
      <c r="C264" s="33"/>
      <c r="D264" s="33"/>
      <c r="E264" s="33"/>
      <c r="F264" s="33"/>
      <c r="G264" s="33"/>
      <c r="H264" s="33"/>
      <c r="I264" s="34"/>
    </row>
    <row r="265" spans="1:9" x14ac:dyDescent="0.25">
      <c r="A265" s="9" t="s">
        <v>62</v>
      </c>
      <c r="I265" s="12"/>
    </row>
    <row r="266" spans="1:9" x14ac:dyDescent="0.25">
      <c r="A266" s="9"/>
      <c r="D266" s="19">
        <v>8.3299999999999999E-2</v>
      </c>
      <c r="E266" s="19">
        <v>8.3299999999999999E-2</v>
      </c>
      <c r="F266" s="19"/>
      <c r="G266" s="20">
        <v>0.01</v>
      </c>
      <c r="H266" s="19">
        <v>4.1700000000000001E-2</v>
      </c>
      <c r="I266" s="12"/>
    </row>
    <row r="267" spans="1:9" ht="15" x14ac:dyDescent="0.25">
      <c r="A267" s="21" t="s">
        <v>39</v>
      </c>
      <c r="B267" s="3" t="s">
        <v>40</v>
      </c>
      <c r="C267" s="3" t="s">
        <v>41</v>
      </c>
      <c r="D267" s="3" t="s">
        <v>58</v>
      </c>
      <c r="E267" s="3" t="s">
        <v>42</v>
      </c>
      <c r="F267" s="3"/>
      <c r="G267" s="3" t="s">
        <v>59</v>
      </c>
      <c r="H267" s="3" t="s">
        <v>43</v>
      </c>
      <c r="I267" s="4" t="s">
        <v>46</v>
      </c>
    </row>
    <row r="268" spans="1:9" x14ac:dyDescent="0.25">
      <c r="A268" s="16" t="s">
        <v>109</v>
      </c>
      <c r="B268" s="2">
        <v>2500000</v>
      </c>
      <c r="C268" s="2">
        <v>162000</v>
      </c>
      <c r="D268" s="2">
        <f>+(B268+C268)*$D$138</f>
        <v>221744.6</v>
      </c>
      <c r="E268" s="2">
        <f>+(B268+C268)*$E$37</f>
        <v>221744.6</v>
      </c>
      <c r="F268" s="2"/>
      <c r="G268" s="2">
        <f>+(B268+C268)*$G$37</f>
        <v>26620</v>
      </c>
      <c r="H268" s="2">
        <f>+B268*$H$138</f>
        <v>104250</v>
      </c>
      <c r="I268" s="17">
        <f>+D268+E268+G268+H268</f>
        <v>574359.19999999995</v>
      </c>
    </row>
    <row r="269" spans="1:9" x14ac:dyDescent="0.25">
      <c r="A269" s="16" t="s">
        <v>67</v>
      </c>
      <c r="B269" s="2">
        <v>3308400</v>
      </c>
      <c r="C269" s="2">
        <v>0</v>
      </c>
      <c r="D269" s="2">
        <f t="shared" ref="D269:D270" si="100">+(B269+C269)*$D$138</f>
        <v>275589.71999999997</v>
      </c>
      <c r="E269" s="2">
        <f t="shared" ref="E269:E270" si="101">+(B269+C269)*$E$37</f>
        <v>275589.71999999997</v>
      </c>
      <c r="F269" s="2"/>
      <c r="G269" s="2">
        <f t="shared" ref="G269:G270" si="102">+(B269+C269)*$G$37</f>
        <v>33084</v>
      </c>
      <c r="H269" s="2">
        <f t="shared" ref="H269:H271" si="103">+B269*$H$138</f>
        <v>137960.28</v>
      </c>
      <c r="I269" s="17">
        <f t="shared" ref="I269:I271" si="104">+D269+E269+G269+H269</f>
        <v>722223.72</v>
      </c>
    </row>
    <row r="270" spans="1:9" x14ac:dyDescent="0.25">
      <c r="A270" s="16" t="s">
        <v>266</v>
      </c>
      <c r="B270" s="2">
        <v>1300000</v>
      </c>
      <c r="C270" s="2">
        <v>162000</v>
      </c>
      <c r="D270" s="2">
        <f t="shared" si="100"/>
        <v>121784.6</v>
      </c>
      <c r="E270" s="2">
        <f t="shared" si="101"/>
        <v>121784.6</v>
      </c>
      <c r="F270" s="2"/>
      <c r="G270" s="2">
        <f t="shared" si="102"/>
        <v>14620</v>
      </c>
      <c r="H270" s="2">
        <f t="shared" si="103"/>
        <v>54210</v>
      </c>
      <c r="I270" s="17">
        <f t="shared" si="104"/>
        <v>312399.2</v>
      </c>
    </row>
    <row r="271" spans="1:9" x14ac:dyDescent="0.25">
      <c r="A271" s="16" t="s">
        <v>74</v>
      </c>
      <c r="B271" s="2">
        <v>2500000</v>
      </c>
      <c r="C271" s="2">
        <v>162000</v>
      </c>
      <c r="D271" s="2">
        <f>+(B271+C271)*$D$138+1</f>
        <v>221745.6</v>
      </c>
      <c r="E271" s="2">
        <f>+(B271+C271)*$E$37+1</f>
        <v>221745.6</v>
      </c>
      <c r="F271" s="2"/>
      <c r="G271" s="2">
        <f>+(B271+C271)*$G$37+1</f>
        <v>26621</v>
      </c>
      <c r="H271" s="2">
        <f t="shared" si="103"/>
        <v>104250</v>
      </c>
      <c r="I271" s="17">
        <f t="shared" si="104"/>
        <v>574362.19999999995</v>
      </c>
    </row>
    <row r="272" spans="1:9" ht="15" x14ac:dyDescent="0.25">
      <c r="A272" s="32" t="s">
        <v>61</v>
      </c>
      <c r="B272" s="2"/>
      <c r="C272" s="1"/>
      <c r="D272" s="18">
        <f>SUM(D268:D271)</f>
        <v>840864.5199999999</v>
      </c>
      <c r="E272" s="18">
        <f>SUM(E268:E271)</f>
        <v>840864.5199999999</v>
      </c>
      <c r="F272" s="18"/>
      <c r="G272" s="18">
        <f>SUM(G268:G271)</f>
        <v>100945</v>
      </c>
      <c r="H272" s="18">
        <f>SUM(H268:H271)</f>
        <v>400670.28</v>
      </c>
      <c r="I272" s="18">
        <f>SUM(I268:I271)</f>
        <v>2183344.3199999998</v>
      </c>
    </row>
    <row r="273" spans="1:9" ht="15" x14ac:dyDescent="0.25">
      <c r="A273" s="9"/>
      <c r="I273" s="23">
        <f>+I263+I272</f>
        <v>15172972.168000001</v>
      </c>
    </row>
    <row r="274" spans="1:9" ht="15" x14ac:dyDescent="0.25">
      <c r="A274" s="9"/>
      <c r="H274" s="5" t="s">
        <v>117</v>
      </c>
      <c r="I274" s="24">
        <v>0</v>
      </c>
    </row>
    <row r="275" spans="1:9" ht="15" x14ac:dyDescent="0.25">
      <c r="A275" s="25" t="s">
        <v>37</v>
      </c>
      <c r="B275" s="26" t="s">
        <v>47</v>
      </c>
      <c r="C275" s="26"/>
      <c r="D275" s="27" t="s">
        <v>46</v>
      </c>
      <c r="H275" s="5" t="s">
        <v>267</v>
      </c>
      <c r="I275" s="24">
        <v>246200</v>
      </c>
    </row>
    <row r="276" spans="1:9" x14ac:dyDescent="0.25">
      <c r="A276" s="16" t="s">
        <v>110</v>
      </c>
      <c r="B276" s="2">
        <v>870000</v>
      </c>
      <c r="C276" s="2"/>
      <c r="D276" s="2">
        <f>+B276+C276</f>
        <v>870000</v>
      </c>
      <c r="I276" s="12"/>
    </row>
    <row r="277" spans="1:9" x14ac:dyDescent="0.25">
      <c r="A277" s="163" t="s">
        <v>116</v>
      </c>
      <c r="B277" s="164">
        <v>4664000</v>
      </c>
      <c r="C277" s="164"/>
      <c r="D277" s="2">
        <f>+B277+C277</f>
        <v>4664000</v>
      </c>
      <c r="I277" s="12"/>
    </row>
    <row r="278" spans="1:9" ht="15.75" thickBot="1" x14ac:dyDescent="0.3">
      <c r="A278" s="28" t="s">
        <v>51</v>
      </c>
      <c r="B278" s="29">
        <v>2000000</v>
      </c>
      <c r="C278" s="29"/>
      <c r="D278" s="29">
        <f>+B278+C278</f>
        <v>2000000</v>
      </c>
      <c r="E278" s="30"/>
      <c r="F278" s="30"/>
      <c r="G278" s="30"/>
      <c r="H278" s="30"/>
      <c r="I278" s="169">
        <f>+I273+I274+I275+D276+D277+D278</f>
        <v>22953172.168000001</v>
      </c>
    </row>
    <row r="279" spans="1:9" ht="15" thickBot="1" x14ac:dyDescent="0.3"/>
    <row r="280" spans="1:9" ht="15" x14ac:dyDescent="0.25">
      <c r="A280" s="6" t="s">
        <v>354</v>
      </c>
      <c r="B280" s="7"/>
      <c r="C280" s="7"/>
      <c r="D280" s="7"/>
      <c r="E280" s="7"/>
      <c r="F280" s="7"/>
      <c r="G280" s="7"/>
      <c r="H280" s="7"/>
      <c r="I280" s="8"/>
    </row>
    <row r="281" spans="1:9" ht="15" thickBot="1" x14ac:dyDescent="0.3">
      <c r="A281" s="9"/>
      <c r="D281" s="10">
        <v>8.5000000000000006E-2</v>
      </c>
      <c r="E281" s="11">
        <v>0.12</v>
      </c>
      <c r="F281" s="11"/>
      <c r="G281" s="10">
        <v>5.2199999999999998E-3</v>
      </c>
      <c r="H281" s="11">
        <v>0.09</v>
      </c>
      <c r="I281" s="12"/>
    </row>
    <row r="282" spans="1:9" ht="15" x14ac:dyDescent="0.25">
      <c r="A282" s="13" t="s">
        <v>39</v>
      </c>
      <c r="B282" s="14" t="s">
        <v>40</v>
      </c>
      <c r="C282" s="14" t="s">
        <v>41</v>
      </c>
      <c r="D282" s="14" t="s">
        <v>56</v>
      </c>
      <c r="E282" s="14" t="s">
        <v>45</v>
      </c>
      <c r="F282" s="14"/>
      <c r="G282" s="14" t="s">
        <v>44</v>
      </c>
      <c r="H282" s="14" t="s">
        <v>57</v>
      </c>
      <c r="I282" s="15" t="s">
        <v>46</v>
      </c>
    </row>
    <row r="283" spans="1:9" x14ac:dyDescent="0.25">
      <c r="A283" s="16" t="s">
        <v>109</v>
      </c>
      <c r="B283" s="2">
        <v>1250000</v>
      </c>
      <c r="C283" s="2">
        <v>81000</v>
      </c>
      <c r="D283" s="2">
        <v>212500.00000000003</v>
      </c>
      <c r="E283" s="2">
        <v>300000</v>
      </c>
      <c r="F283" s="2"/>
      <c r="G283" s="2">
        <v>13050</v>
      </c>
      <c r="H283" s="2">
        <v>225000</v>
      </c>
      <c r="I283" s="17">
        <f>+B283+C283+D283+E283+G283+H283</f>
        <v>2081550</v>
      </c>
    </row>
    <row r="284" spans="1:9" x14ac:dyDescent="0.25">
      <c r="A284" s="16" t="s">
        <v>67</v>
      </c>
      <c r="B284" s="2">
        <v>1654200</v>
      </c>
      <c r="C284" s="2">
        <v>0</v>
      </c>
      <c r="D284" s="2">
        <v>280164</v>
      </c>
      <c r="E284" s="2">
        <v>395664</v>
      </c>
      <c r="F284" s="2"/>
      <c r="G284" s="2">
        <v>17269.847999999998</v>
      </c>
      <c r="H284" s="2">
        <v>297000</v>
      </c>
      <c r="I284" s="17">
        <f t="shared" ref="I284:I287" si="105">+B284+C284+D284+E284+G284+H284</f>
        <v>2644297.8480000002</v>
      </c>
    </row>
    <row r="285" spans="1:9" x14ac:dyDescent="0.25">
      <c r="A285" s="16" t="s">
        <v>266</v>
      </c>
      <c r="B285" s="2">
        <v>650000</v>
      </c>
      <c r="C285" s="2">
        <v>81000</v>
      </c>
      <c r="D285" s="2">
        <v>110500.00000000001</v>
      </c>
      <c r="E285" s="2">
        <v>156000</v>
      </c>
      <c r="F285" s="2"/>
      <c r="G285" s="2">
        <v>6786</v>
      </c>
      <c r="H285" s="2">
        <v>117000</v>
      </c>
      <c r="I285" s="17">
        <f t="shared" si="105"/>
        <v>1121286</v>
      </c>
    </row>
    <row r="286" spans="1:9" x14ac:dyDescent="0.25">
      <c r="A286" s="16" t="s">
        <v>74</v>
      </c>
      <c r="B286" s="2">
        <v>1250000</v>
      </c>
      <c r="C286" s="2">
        <v>81000</v>
      </c>
      <c r="D286" s="2">
        <v>212500.00000000003</v>
      </c>
      <c r="E286" s="2">
        <v>300000</v>
      </c>
      <c r="F286" s="2"/>
      <c r="G286" s="2">
        <v>13050</v>
      </c>
      <c r="H286" s="2">
        <v>225000</v>
      </c>
      <c r="I286" s="17">
        <f t="shared" si="105"/>
        <v>2081550</v>
      </c>
    </row>
    <row r="287" spans="1:9" x14ac:dyDescent="0.25">
      <c r="A287" s="16" t="s">
        <v>262</v>
      </c>
      <c r="B287" s="2"/>
      <c r="C287" s="2"/>
      <c r="D287" s="2">
        <f t="shared" ref="D287" si="106">+B287*$D$78</f>
        <v>0</v>
      </c>
      <c r="E287" s="2">
        <f t="shared" ref="E287" si="107">+B287*$E$78</f>
        <v>0</v>
      </c>
      <c r="F287" s="2"/>
      <c r="G287" s="2">
        <v>13744</v>
      </c>
      <c r="H287" s="2">
        <v>0</v>
      </c>
      <c r="I287" s="17">
        <f t="shared" si="105"/>
        <v>13744</v>
      </c>
    </row>
    <row r="288" spans="1:9" ht="15" x14ac:dyDescent="0.25">
      <c r="A288" s="32" t="s">
        <v>60</v>
      </c>
      <c r="B288" s="18">
        <f>SUM(B283:B286)</f>
        <v>4804200</v>
      </c>
      <c r="C288" s="18">
        <f>SUM(C283:C286)</f>
        <v>243000</v>
      </c>
      <c r="D288" s="18">
        <f>SUM(D283:D286)</f>
        <v>815664</v>
      </c>
      <c r="E288" s="18">
        <f>SUM(E283:E286)</f>
        <v>1151664</v>
      </c>
      <c r="F288" s="18"/>
      <c r="G288" s="18">
        <f>SUM(G283:G287)</f>
        <v>63899.847999999998</v>
      </c>
      <c r="H288" s="18">
        <f>SUM(H283:H287)</f>
        <v>864000</v>
      </c>
      <c r="I288" s="18">
        <f>SUM(I283:I287)</f>
        <v>7942427.8480000002</v>
      </c>
    </row>
    <row r="289" spans="1:9" x14ac:dyDescent="0.25">
      <c r="A289" s="9"/>
      <c r="B289" s="33"/>
      <c r="C289" s="33"/>
      <c r="D289" s="33"/>
      <c r="E289" s="33"/>
      <c r="F289" s="33"/>
      <c r="G289" s="33"/>
      <c r="H289" s="33"/>
      <c r="I289" s="34"/>
    </row>
    <row r="290" spans="1:9" x14ac:dyDescent="0.25">
      <c r="A290" s="9" t="s">
        <v>62</v>
      </c>
      <c r="I290" s="12"/>
    </row>
    <row r="291" spans="1:9" x14ac:dyDescent="0.25">
      <c r="A291" s="9"/>
      <c r="D291" s="19">
        <v>8.3299999999999999E-2</v>
      </c>
      <c r="E291" s="19">
        <v>8.3299999999999999E-2</v>
      </c>
      <c r="F291" s="19"/>
      <c r="G291" s="20">
        <v>0.01</v>
      </c>
      <c r="H291" s="19">
        <v>4.1700000000000001E-2</v>
      </c>
      <c r="I291" s="12"/>
    </row>
    <row r="292" spans="1:9" ht="15" x14ac:dyDescent="0.25">
      <c r="A292" s="21" t="s">
        <v>39</v>
      </c>
      <c r="B292" s="3" t="s">
        <v>40</v>
      </c>
      <c r="C292" s="3" t="s">
        <v>41</v>
      </c>
      <c r="D292" s="3" t="s">
        <v>58</v>
      </c>
      <c r="E292" s="3" t="s">
        <v>42</v>
      </c>
      <c r="F292" s="3"/>
      <c r="G292" s="3" t="s">
        <v>59</v>
      </c>
      <c r="H292" s="3" t="s">
        <v>43</v>
      </c>
      <c r="I292" s="4" t="s">
        <v>46</v>
      </c>
    </row>
    <row r="293" spans="1:9" x14ac:dyDescent="0.25">
      <c r="A293" s="16" t="s">
        <v>109</v>
      </c>
      <c r="B293" s="2">
        <v>1250000</v>
      </c>
      <c r="C293" s="2">
        <v>81000</v>
      </c>
      <c r="D293" s="2">
        <v>221744.6</v>
      </c>
      <c r="E293" s="2">
        <v>221744.6</v>
      </c>
      <c r="F293" s="2"/>
      <c r="G293" s="2">
        <v>26620</v>
      </c>
      <c r="H293" s="2">
        <v>104250</v>
      </c>
      <c r="I293" s="17">
        <f>+D293+E293+G293+H293</f>
        <v>574359.19999999995</v>
      </c>
    </row>
    <row r="294" spans="1:9" x14ac:dyDescent="0.25">
      <c r="A294" s="16" t="s">
        <v>67</v>
      </c>
      <c r="B294" s="2">
        <v>1654200</v>
      </c>
      <c r="C294" s="2">
        <v>0</v>
      </c>
      <c r="D294" s="2">
        <v>275589.71999999997</v>
      </c>
      <c r="E294" s="2">
        <v>275589.71999999997</v>
      </c>
      <c r="F294" s="2"/>
      <c r="G294" s="2">
        <v>33084</v>
      </c>
      <c r="H294" s="2">
        <v>137960.28</v>
      </c>
      <c r="I294" s="17">
        <f t="shared" ref="I294:I296" si="108">+D294+E294+G294+H294</f>
        <v>722223.72</v>
      </c>
    </row>
    <row r="295" spans="1:9" x14ac:dyDescent="0.25">
      <c r="A295" s="16" t="s">
        <v>266</v>
      </c>
      <c r="B295" s="2">
        <v>650000</v>
      </c>
      <c r="C295" s="2">
        <v>81000</v>
      </c>
      <c r="D295" s="2">
        <v>121784.6</v>
      </c>
      <c r="E295" s="2">
        <v>121784.6</v>
      </c>
      <c r="F295" s="2"/>
      <c r="G295" s="2">
        <v>14620</v>
      </c>
      <c r="H295" s="2">
        <v>54210</v>
      </c>
      <c r="I295" s="17">
        <f t="shared" si="108"/>
        <v>312399.2</v>
      </c>
    </row>
    <row r="296" spans="1:9" x14ac:dyDescent="0.25">
      <c r="A296" s="16" t="s">
        <v>74</v>
      </c>
      <c r="B296" s="2">
        <v>1250000</v>
      </c>
      <c r="C296" s="2">
        <v>81000</v>
      </c>
      <c r="D296" s="2">
        <v>221745.6</v>
      </c>
      <c r="E296" s="2">
        <v>221745.6</v>
      </c>
      <c r="F296" s="2"/>
      <c r="G296" s="2">
        <v>26621</v>
      </c>
      <c r="H296" s="2">
        <v>104250</v>
      </c>
      <c r="I296" s="17">
        <f t="shared" si="108"/>
        <v>574362.19999999995</v>
      </c>
    </row>
    <row r="297" spans="1:9" ht="15" x14ac:dyDescent="0.25">
      <c r="A297" s="32" t="s">
        <v>61</v>
      </c>
      <c r="B297" s="2"/>
      <c r="C297" s="1"/>
      <c r="D297" s="18">
        <f>SUM(D293:D296)</f>
        <v>840864.5199999999</v>
      </c>
      <c r="E297" s="18">
        <f>SUM(E293:E296)</f>
        <v>840864.5199999999</v>
      </c>
      <c r="F297" s="18"/>
      <c r="G297" s="18">
        <f>SUM(G293:G296)</f>
        <v>100945</v>
      </c>
      <c r="H297" s="18">
        <f>SUM(H293:H296)</f>
        <v>400670.28</v>
      </c>
      <c r="I297" s="18">
        <f>SUM(I293:I296)</f>
        <v>2183344.3199999998</v>
      </c>
    </row>
    <row r="298" spans="1:9" ht="15" x14ac:dyDescent="0.25">
      <c r="A298" s="9"/>
      <c r="I298" s="23">
        <f>+I288+I297</f>
        <v>10125772.168</v>
      </c>
    </row>
    <row r="299" spans="1:9" ht="15" x14ac:dyDescent="0.25">
      <c r="A299" s="9"/>
      <c r="H299" s="5" t="s">
        <v>117</v>
      </c>
      <c r="I299" s="24">
        <v>250000</v>
      </c>
    </row>
    <row r="300" spans="1:9" ht="15" x14ac:dyDescent="0.25">
      <c r="A300" s="25" t="s">
        <v>37</v>
      </c>
      <c r="B300" s="26" t="s">
        <v>47</v>
      </c>
      <c r="C300" s="26" t="s">
        <v>356</v>
      </c>
      <c r="D300" s="27" t="s">
        <v>46</v>
      </c>
      <c r="H300" s="5" t="s">
        <v>267</v>
      </c>
      <c r="I300" s="24">
        <v>69800</v>
      </c>
    </row>
    <row r="301" spans="1:9" ht="15" x14ac:dyDescent="0.25">
      <c r="A301" s="16" t="s">
        <v>110</v>
      </c>
      <c r="B301" s="2">
        <v>870000</v>
      </c>
      <c r="C301" s="2">
        <v>250000</v>
      </c>
      <c r="D301" s="2">
        <f>+B301+C301</f>
        <v>1120000</v>
      </c>
      <c r="H301" s="5" t="s">
        <v>355</v>
      </c>
      <c r="I301" s="24">
        <f>5500000-2500000</f>
        <v>3000000</v>
      </c>
    </row>
    <row r="302" spans="1:9" x14ac:dyDescent="0.25">
      <c r="A302" s="163" t="s">
        <v>116</v>
      </c>
      <c r="B302" s="164">
        <v>2332000</v>
      </c>
      <c r="C302" s="164">
        <v>1000000</v>
      </c>
      <c r="D302" s="2">
        <f>+B302+C302</f>
        <v>3332000</v>
      </c>
      <c r="I302" s="12"/>
    </row>
    <row r="303" spans="1:9" ht="15.75" thickBot="1" x14ac:dyDescent="0.3">
      <c r="A303" s="28" t="s">
        <v>51</v>
      </c>
      <c r="B303" s="29">
        <v>2000000</v>
      </c>
      <c r="C303" s="29">
        <v>250000</v>
      </c>
      <c r="D303" s="29">
        <f>+B303+C303</f>
        <v>2250000</v>
      </c>
      <c r="E303" s="30"/>
      <c r="F303" s="30"/>
      <c r="G303" s="30"/>
      <c r="H303" s="30"/>
      <c r="I303" s="169">
        <f>+I298+I299+I300+I301+D301+D302+D303</f>
        <v>20147572.167999998</v>
      </c>
    </row>
  </sheetData>
  <pageMargins left="0.7" right="0.7" top="0.75" bottom="0.75" header="0.3" footer="0.3"/>
  <pageSetup orientation="portrait" r:id="rId1"/>
  <ignoredErrors>
    <ignoredError sqref="E82" 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T44"/>
  <sheetViews>
    <sheetView zoomScale="82" zoomScaleNormal="82" workbookViewId="0">
      <selection activeCell="V24" sqref="V24"/>
    </sheetView>
  </sheetViews>
  <sheetFormatPr baseColWidth="10" defaultRowHeight="15" x14ac:dyDescent="0.25"/>
  <cols>
    <col min="1" max="1" width="45.7109375" customWidth="1"/>
    <col min="2" max="2" width="11.42578125" customWidth="1"/>
    <col min="4" max="4" width="11.85546875" customWidth="1"/>
    <col min="7" max="11" width="11.42578125" customWidth="1"/>
    <col min="12" max="12" width="12.42578125" customWidth="1"/>
    <col min="13" max="14" width="11.42578125" customWidth="1"/>
    <col min="15" max="15" width="12.85546875" customWidth="1"/>
    <col min="17" max="17" width="14.85546875" customWidth="1"/>
  </cols>
  <sheetData>
    <row r="1" spans="1:19" x14ac:dyDescent="0.25">
      <c r="A1" s="346"/>
      <c r="B1" s="346"/>
      <c r="C1" s="346"/>
      <c r="D1" s="346"/>
      <c r="E1" s="346"/>
      <c r="F1" s="346"/>
      <c r="G1" s="346"/>
      <c r="H1" s="346"/>
      <c r="I1" s="346"/>
      <c r="J1" s="346"/>
      <c r="K1" s="346"/>
      <c r="L1" s="346"/>
      <c r="M1" s="346"/>
      <c r="N1" s="346"/>
      <c r="O1" s="346"/>
      <c r="P1" s="346"/>
      <c r="Q1" s="346"/>
    </row>
    <row r="2" spans="1:19" x14ac:dyDescent="0.25">
      <c r="A2" s="347" t="s">
        <v>122</v>
      </c>
      <c r="B2" s="347"/>
      <c r="C2" s="347"/>
      <c r="D2" s="347"/>
      <c r="E2" s="347"/>
      <c r="F2" s="347"/>
      <c r="G2" s="347"/>
      <c r="H2" s="347"/>
      <c r="I2" s="347"/>
      <c r="J2" s="347"/>
      <c r="K2" s="347"/>
      <c r="L2" s="347"/>
      <c r="M2" s="347"/>
      <c r="N2" s="347"/>
      <c r="O2" s="347"/>
      <c r="P2" s="347"/>
      <c r="Q2" s="347"/>
    </row>
    <row r="3" spans="1:19" x14ac:dyDescent="0.25">
      <c r="A3" s="49"/>
      <c r="B3" s="50" t="s">
        <v>123</v>
      </c>
      <c r="C3" s="50" t="s">
        <v>124</v>
      </c>
      <c r="D3" s="349" t="s">
        <v>257</v>
      </c>
      <c r="E3" s="349"/>
      <c r="F3" s="349"/>
      <c r="G3" s="349"/>
      <c r="H3" s="349"/>
      <c r="I3" s="349"/>
      <c r="J3" s="349"/>
      <c r="K3" s="349"/>
      <c r="L3" s="349"/>
      <c r="M3" s="349"/>
      <c r="N3" s="349"/>
      <c r="O3" s="349"/>
      <c r="P3" s="349"/>
      <c r="Q3" s="349"/>
    </row>
    <row r="4" spans="1:19" ht="30" x14ac:dyDescent="0.25">
      <c r="A4" s="51" t="s">
        <v>125</v>
      </c>
      <c r="B4" s="51">
        <v>1</v>
      </c>
      <c r="C4" s="51">
        <v>6</v>
      </c>
      <c r="D4" s="51" t="s">
        <v>126</v>
      </c>
      <c r="E4" s="51" t="s">
        <v>127</v>
      </c>
      <c r="F4" s="51" t="s">
        <v>128</v>
      </c>
      <c r="G4" s="51" t="s">
        <v>129</v>
      </c>
      <c r="H4" s="51" t="s">
        <v>130</v>
      </c>
      <c r="I4" s="51" t="s">
        <v>131</v>
      </c>
      <c r="J4" s="51" t="s">
        <v>132</v>
      </c>
      <c r="K4" s="51" t="s">
        <v>133</v>
      </c>
      <c r="L4" s="51" t="s">
        <v>134</v>
      </c>
      <c r="M4" s="51" t="s">
        <v>135</v>
      </c>
      <c r="N4" s="51" t="s">
        <v>136</v>
      </c>
      <c r="O4" s="51" t="s">
        <v>137</v>
      </c>
      <c r="P4" s="61" t="s">
        <v>46</v>
      </c>
      <c r="Q4" s="65" t="s">
        <v>150</v>
      </c>
      <c r="R4" s="132" t="s">
        <v>242</v>
      </c>
      <c r="S4" s="133" t="s">
        <v>243</v>
      </c>
    </row>
    <row r="5" spans="1:19" x14ac:dyDescent="0.25">
      <c r="A5" s="44" t="s">
        <v>138</v>
      </c>
      <c r="B5" s="45">
        <v>6010400</v>
      </c>
      <c r="C5" s="45">
        <f t="shared" ref="C5:C12" si="0">+B5*$C$4</f>
        <v>36062400</v>
      </c>
      <c r="D5" s="45"/>
      <c r="E5" s="45">
        <f>+'EJECUCION SOC FEB 24'!D51</f>
        <v>721248</v>
      </c>
      <c r="F5" s="45">
        <f>+'EJECUCION SOCIAL MARZO 24'!D51</f>
        <v>3546136</v>
      </c>
      <c r="G5" s="45">
        <f>+'EJECUCION SOCIAL ABRIL 24'!D54</f>
        <v>4116964</v>
      </c>
      <c r="H5" s="45">
        <f>+'EJECUCION SOCIAL MAY 24'!D54</f>
        <v>3711422</v>
      </c>
      <c r="I5" s="45">
        <f>+'EJECUCION SOCIAL JUN 24'!D54</f>
        <v>4567904</v>
      </c>
      <c r="J5" s="45">
        <f>+'EJECUCION SOCIAL JUL 24'!D54</f>
        <v>2744576</v>
      </c>
      <c r="K5" s="45">
        <f>+'EJECUCION SOCIAL AGO 24'!D55</f>
        <v>4327488</v>
      </c>
      <c r="L5" s="45">
        <f>+'EJECUCION SOCIAL SEPTIEMBRE'!D55</f>
        <v>3966864</v>
      </c>
      <c r="M5" s="45">
        <f>+'EJECUCUCION SOCIAL OCTUBRE'!D55</f>
        <v>2404160</v>
      </c>
      <c r="N5" s="45">
        <f>+'EJECUCION SOCIAL NOVIEMBRE'!D55</f>
        <v>3775524</v>
      </c>
      <c r="O5" s="45">
        <f>+'EJECUCION SOCIAL DICIEMBRE'!D55</f>
        <v>71092</v>
      </c>
      <c r="P5" s="62">
        <f>+D5+E5+F5+G5+H5+I5+J5+K5+L5+M5+N5+O5</f>
        <v>33953378</v>
      </c>
      <c r="Q5" s="66">
        <f>+C5-P5</f>
        <v>2109022</v>
      </c>
      <c r="R5" s="134">
        <f>+P5/C5</f>
        <v>0.94151742535161276</v>
      </c>
      <c r="S5" s="135">
        <f>+Q5/C5</f>
        <v>5.8482574648387242E-2</v>
      </c>
    </row>
    <row r="6" spans="1:19" x14ac:dyDescent="0.25">
      <c r="A6" s="44" t="s">
        <v>139</v>
      </c>
      <c r="B6" s="45">
        <v>546400</v>
      </c>
      <c r="C6" s="45">
        <f t="shared" si="0"/>
        <v>3278400</v>
      </c>
      <c r="D6" s="45">
        <f>+'EJECUCION SOC ENE 24'!D53</f>
        <v>45714.5</v>
      </c>
      <c r="E6" s="45">
        <f>+'EJECUCION SOC FEB 24'!D56</f>
        <v>1964074.5</v>
      </c>
      <c r="F6" s="45"/>
      <c r="G6" s="45"/>
      <c r="H6" s="45">
        <f>+'EJECUCION SOCIAL MAY 24'!D59</f>
        <v>165000</v>
      </c>
      <c r="I6" s="45"/>
      <c r="J6" s="45">
        <f>+'EJECUCION SOCIAL JUL 24'!D59</f>
        <v>105336</v>
      </c>
      <c r="K6" s="45">
        <f>+'EJECUCION SOCIAL AGO 24'!D60</f>
        <v>10000</v>
      </c>
      <c r="L6" s="45"/>
      <c r="M6" s="45"/>
      <c r="N6" s="45"/>
      <c r="O6" s="45">
        <f>+'EJECUCION SOCIAL DICIEMBRE'!D60</f>
        <v>226118</v>
      </c>
      <c r="P6" s="62">
        <f t="shared" ref="P6:P15" si="1">+D6+E6+F6+G6+H6+I6+J6+K6+L6+M6+N6+O6</f>
        <v>2516243</v>
      </c>
      <c r="Q6" s="66">
        <f t="shared" ref="Q6:Q14" si="2">+C6-P6</f>
        <v>762157</v>
      </c>
      <c r="R6" s="134">
        <f t="shared" ref="R6:R16" si="3">+P6/C6</f>
        <v>0.76752165690580776</v>
      </c>
      <c r="S6" s="135">
        <f t="shared" ref="S6:S15" si="4">+Q6/C6</f>
        <v>0.2324783430941923</v>
      </c>
    </row>
    <row r="7" spans="1:19" x14ac:dyDescent="0.25">
      <c r="A7" s="44" t="s">
        <v>140</v>
      </c>
      <c r="B7" s="45">
        <v>2486120</v>
      </c>
      <c r="C7" s="45">
        <f t="shared" si="0"/>
        <v>14916720</v>
      </c>
      <c r="D7" s="45"/>
      <c r="E7" s="45">
        <f>+'EJECUCION SOC FEB 24'!D53</f>
        <v>198000</v>
      </c>
      <c r="F7" s="45">
        <f>+'EJECUCION SOCIAL MARZO 24'!D53</f>
        <v>2170800</v>
      </c>
      <c r="G7" s="45">
        <f>+'EJECUCION SOCIAL ABRIL 24'!D56</f>
        <v>2366250</v>
      </c>
      <c r="H7" s="45">
        <f>+'EJECUCION SOCIAL MAY 24'!D56</f>
        <v>2088000</v>
      </c>
      <c r="I7" s="45">
        <f>+'EJECUCION SOCIAL JUN 24'!D56</f>
        <v>1548000</v>
      </c>
      <c r="J7" s="45">
        <f>+'EJECUCION SOCIAL JUL 24'!D56</f>
        <v>2222831.5</v>
      </c>
      <c r="K7" s="45">
        <f>+'EJECUCION SOCIAL AGO 24'!D57</f>
        <v>783000</v>
      </c>
      <c r="L7" s="45">
        <f>+'EJECUCION SOCIAL SEPTIEMBRE'!D57</f>
        <v>1032000</v>
      </c>
      <c r="M7" s="45">
        <f>+'EJECUCUCION SOCIAL OCTUBRE'!D57</f>
        <v>1249500</v>
      </c>
      <c r="N7" s="45">
        <f>+'EJECUCION SOCIAL NOVIEMBRE'!D57</f>
        <v>860000</v>
      </c>
      <c r="O7" s="45">
        <f>+'EJECUCION SOCIAL DICIEMBRE'!D57</f>
        <v>1007596.5</v>
      </c>
      <c r="P7" s="62">
        <f t="shared" si="1"/>
        <v>15525978</v>
      </c>
      <c r="Q7" s="66">
        <f t="shared" si="2"/>
        <v>-609258</v>
      </c>
      <c r="R7" s="134">
        <f t="shared" si="3"/>
        <v>1.0408439656975528</v>
      </c>
      <c r="S7" s="135">
        <f t="shared" si="4"/>
        <v>-4.084396569755281E-2</v>
      </c>
    </row>
    <row r="8" spans="1:19" x14ac:dyDescent="0.25">
      <c r="A8" s="44" t="s">
        <v>141</v>
      </c>
      <c r="B8" s="45">
        <v>2486120</v>
      </c>
      <c r="C8" s="45">
        <f t="shared" si="0"/>
        <v>14916720</v>
      </c>
      <c r="D8" s="45"/>
      <c r="E8" s="45"/>
      <c r="F8" s="45">
        <f>+'EJECUCION SOCIAL MARZO 24'!D55</f>
        <v>235000</v>
      </c>
      <c r="G8" s="45">
        <f>+'EJECUCION SOCIAL ABRIL 24'!D58</f>
        <v>526000</v>
      </c>
      <c r="H8" s="45">
        <f>+'EJECUCION SOCIAL MAY 24'!D58</f>
        <v>285000</v>
      </c>
      <c r="I8" s="45"/>
      <c r="J8" s="45">
        <f>+'EJECUCION SOCIAL JUL 24'!D58</f>
        <v>128000</v>
      </c>
      <c r="K8" s="45">
        <f>+'EJECUCION SOCIAL AGO 24'!D59</f>
        <v>128000</v>
      </c>
      <c r="L8" s="45">
        <f>+'EJECUCION SOCIAL SEPTIEMBRE'!D59</f>
        <v>128000</v>
      </c>
      <c r="M8" s="45">
        <f>+'EJECUCUCION SOCIAL OCTUBRE'!D59</f>
        <v>128000</v>
      </c>
      <c r="N8" s="45"/>
      <c r="O8" s="45">
        <f>+'EJECUCION SOCIAL DICIEMBRE'!D59</f>
        <v>64000</v>
      </c>
      <c r="P8" s="62">
        <f t="shared" si="1"/>
        <v>1622000</v>
      </c>
      <c r="Q8" s="66">
        <f t="shared" si="2"/>
        <v>13294720</v>
      </c>
      <c r="R8" s="134">
        <f t="shared" si="3"/>
        <v>0.1087370413871146</v>
      </c>
      <c r="S8" s="135">
        <f t="shared" si="4"/>
        <v>0.8912629586128854</v>
      </c>
    </row>
    <row r="9" spans="1:19" x14ac:dyDescent="0.25">
      <c r="A9" s="44" t="s">
        <v>156</v>
      </c>
      <c r="B9" s="45">
        <v>546400</v>
      </c>
      <c r="C9" s="45">
        <f t="shared" si="0"/>
        <v>3278400</v>
      </c>
      <c r="D9" s="45"/>
      <c r="E9" s="45"/>
      <c r="F9" s="45"/>
      <c r="G9" s="45"/>
      <c r="H9" s="45">
        <f>+'EJECUCION SOCIAL MAY 24'!D57</f>
        <v>1450000</v>
      </c>
      <c r="I9" s="45">
        <f>+'EJECUCION SOCIAL JUN 24'!D57</f>
        <v>400700</v>
      </c>
      <c r="J9" s="45">
        <f>+'EJECUCION SOCIAL JUL 24'!D57</f>
        <v>91500</v>
      </c>
      <c r="K9" s="45">
        <f>+'EJECUCION SOCIAL AGO 24'!D58</f>
        <v>460000</v>
      </c>
      <c r="L9" s="45">
        <f>+'EJECUCION SOCIAL SEPTIEMBRE'!D58</f>
        <v>59050</v>
      </c>
      <c r="M9" s="45">
        <f>+'EJECUCUCION SOCIAL OCTUBRE'!D58</f>
        <v>765200</v>
      </c>
      <c r="N9" s="45">
        <f>+'EJECUCION SOCIAL NOVIEMBRE'!D58</f>
        <v>588100</v>
      </c>
      <c r="O9" s="45">
        <f>+'EJECUCION SOCIAL DICIEMBRE'!D58</f>
        <v>99200</v>
      </c>
      <c r="P9" s="62">
        <f t="shared" si="1"/>
        <v>3913750</v>
      </c>
      <c r="Q9" s="66">
        <f t="shared" si="2"/>
        <v>-635350</v>
      </c>
      <c r="R9" s="134">
        <f t="shared" si="3"/>
        <v>1.193798804294778</v>
      </c>
      <c r="S9" s="135">
        <f t="shared" si="4"/>
        <v>-0.19379880429477794</v>
      </c>
    </row>
    <row r="10" spans="1:19" x14ac:dyDescent="0.25">
      <c r="A10" s="44" t="s">
        <v>142</v>
      </c>
      <c r="B10" s="45">
        <v>284128</v>
      </c>
      <c r="C10" s="45">
        <f t="shared" si="0"/>
        <v>1704768</v>
      </c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62">
        <f t="shared" si="1"/>
        <v>0</v>
      </c>
      <c r="Q10" s="66">
        <f t="shared" si="2"/>
        <v>1704768</v>
      </c>
      <c r="R10" s="134">
        <f t="shared" si="3"/>
        <v>0</v>
      </c>
      <c r="S10" s="135">
        <f t="shared" si="4"/>
        <v>1</v>
      </c>
    </row>
    <row r="11" spans="1:19" x14ac:dyDescent="0.25">
      <c r="A11" s="44" t="s">
        <v>143</v>
      </c>
      <c r="B11" s="45">
        <v>655680</v>
      </c>
      <c r="C11" s="45">
        <f t="shared" si="0"/>
        <v>3934080</v>
      </c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62">
        <f t="shared" si="1"/>
        <v>0</v>
      </c>
      <c r="Q11" s="66">
        <f t="shared" si="2"/>
        <v>3934080</v>
      </c>
      <c r="R11" s="134">
        <f t="shared" si="3"/>
        <v>0</v>
      </c>
      <c r="S11" s="135">
        <f t="shared" si="4"/>
        <v>1</v>
      </c>
    </row>
    <row r="12" spans="1:19" x14ac:dyDescent="0.25">
      <c r="A12" s="44" t="s">
        <v>144</v>
      </c>
      <c r="B12" s="45">
        <v>546400</v>
      </c>
      <c r="C12" s="45">
        <f t="shared" si="0"/>
        <v>3278400</v>
      </c>
      <c r="D12" s="45"/>
      <c r="E12" s="45"/>
      <c r="F12" s="45">
        <f>+'EJECUCION SOCIAL MARZO 24'!D52</f>
        <v>1895027.5</v>
      </c>
      <c r="G12" s="45">
        <f>+'EJECUCION SOCIAL ABRIL 24'!D55</f>
        <v>586584</v>
      </c>
      <c r="H12" s="45"/>
      <c r="I12" s="45"/>
      <c r="J12" s="45"/>
      <c r="K12" s="45"/>
      <c r="L12" s="45"/>
      <c r="M12" s="45"/>
      <c r="N12" s="45"/>
      <c r="O12" s="45"/>
      <c r="P12" s="62">
        <f t="shared" si="1"/>
        <v>2481611.5</v>
      </c>
      <c r="Q12" s="66">
        <f t="shared" si="2"/>
        <v>796788.5</v>
      </c>
      <c r="R12" s="134">
        <f t="shared" si="3"/>
        <v>0.75695811981454364</v>
      </c>
      <c r="S12" s="135">
        <f t="shared" si="4"/>
        <v>0.24304188018545633</v>
      </c>
    </row>
    <row r="13" spans="1:19" x14ac:dyDescent="0.25">
      <c r="A13" s="44" t="s">
        <v>333</v>
      </c>
      <c r="B13" s="45">
        <v>0</v>
      </c>
      <c r="C13" s="45">
        <v>0</v>
      </c>
      <c r="D13" s="45"/>
      <c r="E13" s="45"/>
      <c r="F13" s="45">
        <v>750000</v>
      </c>
      <c r="G13" s="45"/>
      <c r="H13" s="45"/>
      <c r="I13" s="45"/>
      <c r="J13" s="45"/>
      <c r="K13" s="45"/>
      <c r="L13" s="45"/>
      <c r="M13" s="45"/>
      <c r="N13" s="45"/>
      <c r="O13" s="45"/>
      <c r="P13" s="62">
        <f t="shared" si="1"/>
        <v>750000</v>
      </c>
      <c r="Q13" s="66"/>
      <c r="R13" s="134"/>
      <c r="S13" s="135"/>
    </row>
    <row r="14" spans="1:19" x14ac:dyDescent="0.25">
      <c r="A14" s="44" t="s">
        <v>146</v>
      </c>
      <c r="B14" s="45">
        <v>270000</v>
      </c>
      <c r="C14" s="45">
        <f>+B14*$C$4</f>
        <v>1620000</v>
      </c>
      <c r="D14" s="45">
        <f>+'EJECUCION SOC ENE 24'!K44*50%</f>
        <v>567627</v>
      </c>
      <c r="E14" s="45">
        <f>+'EJECUCION SOC FEB 24'!K47*50%</f>
        <v>822292.54</v>
      </c>
      <c r="F14" s="45">
        <f>+'EJECUCION SOCIAL MARZO 24'!K47*50%+'EJECUCION SOCIAL MARZO 24'!D59</f>
        <v>860404.12</v>
      </c>
      <c r="G14" s="45"/>
      <c r="H14" s="45"/>
      <c r="I14" s="45"/>
      <c r="J14" s="45">
        <f>+'EJECUCION SOCIAL JUL 24'!D61</f>
        <v>3789337</v>
      </c>
      <c r="K14" s="45"/>
      <c r="L14" s="45"/>
      <c r="M14" s="45">
        <f>+'EJECUCUCION SOCIAL OCTUBRE'!D62</f>
        <v>842750</v>
      </c>
      <c r="N14" s="45">
        <f>+'EJECUCION SOCIAL NOVIEMBRE'!D62</f>
        <v>261750</v>
      </c>
      <c r="O14" s="45">
        <f>+'EJECUCION SOCIAL DICIEMBRE'!D62</f>
        <v>4920120.5</v>
      </c>
      <c r="P14" s="62">
        <f t="shared" si="1"/>
        <v>12064281.16</v>
      </c>
      <c r="Q14" s="66">
        <f t="shared" si="2"/>
        <v>-10444281.16</v>
      </c>
      <c r="R14" s="134">
        <f t="shared" si="3"/>
        <v>7.4470871358024695</v>
      </c>
      <c r="S14" s="135">
        <f t="shared" si="4"/>
        <v>-6.4470871358024695</v>
      </c>
    </row>
    <row r="15" spans="1:19" x14ac:dyDescent="0.25">
      <c r="A15" s="44" t="s">
        <v>145</v>
      </c>
      <c r="B15" s="45">
        <v>7011104</v>
      </c>
      <c r="C15" s="45">
        <f>+B15*$C$4</f>
        <v>42066624</v>
      </c>
      <c r="D15" s="45">
        <f>+'EJECUCION SOC ENE 24'!H11</f>
        <v>4195540.8</v>
      </c>
      <c r="E15" s="45">
        <f>+'EJECUCION SOC FEB 24'!H12</f>
        <v>6305031.6600000001</v>
      </c>
      <c r="F15" s="45">
        <f>+'EJECUCION SOCIAL MARZO 24'!H12</f>
        <v>5543793.2599999998</v>
      </c>
      <c r="G15" s="45">
        <f>+'EJECUCION SOCIAL ABRIL 24'!H12</f>
        <v>6276388.1100000003</v>
      </c>
      <c r="H15" s="45">
        <f>+'EJECUCION SOCIAL MAY 24'!H12</f>
        <v>7514680.9116000002</v>
      </c>
      <c r="I15" s="45">
        <f>+'EJECUCION SOCIAL JUN 24'!H12</f>
        <v>5890049.7576000001</v>
      </c>
      <c r="J15" s="45">
        <f>+'EJECUCION SOCIAL JUL 24'!H12</f>
        <v>5926049.7576000001</v>
      </c>
      <c r="K15" s="45">
        <f>+'EJECUCION SOCIAL AGO 24'!H12</f>
        <v>5926049.7576000001</v>
      </c>
      <c r="L15" s="45">
        <f>+'EJECUCION SOCIAL SEPTIEMBRE'!H12</f>
        <v>5330369.7576000001</v>
      </c>
      <c r="M15" s="45">
        <f>+'EJECUCUCION SOCIAL OCTUBRE'!H12</f>
        <v>7391456.46</v>
      </c>
      <c r="N15" s="45">
        <f>+'EJECUCION SOCIAL NOVIEMBRE'!H12</f>
        <v>6359456.46</v>
      </c>
      <c r="O15" s="45">
        <f>+'EJECUCION SOCIAL DICIEMBRE'!H12</f>
        <v>5737306.46</v>
      </c>
      <c r="P15" s="62">
        <f t="shared" si="1"/>
        <v>72396173.15200001</v>
      </c>
      <c r="Q15" s="66">
        <f>+C15-P15</f>
        <v>-30329549.15200001</v>
      </c>
      <c r="R15" s="134">
        <f t="shared" si="3"/>
        <v>1.7209884290215447</v>
      </c>
      <c r="S15" s="135">
        <f t="shared" si="4"/>
        <v>-0.7209884290215447</v>
      </c>
    </row>
    <row r="16" spans="1:19" x14ac:dyDescent="0.25">
      <c r="A16" s="51" t="s">
        <v>147</v>
      </c>
      <c r="B16" s="52">
        <f t="shared" ref="B16:Q16" si="5">SUM(B5:B15)</f>
        <v>20842752</v>
      </c>
      <c r="C16" s="52">
        <f t="shared" si="5"/>
        <v>125056512</v>
      </c>
      <c r="D16" s="52">
        <f>SUM(D5:D15)</f>
        <v>4808882.3</v>
      </c>
      <c r="E16" s="52">
        <f t="shared" ref="E16:G16" si="6">SUM(E5:E15)</f>
        <v>10010646.699999999</v>
      </c>
      <c r="F16" s="52">
        <f t="shared" si="6"/>
        <v>15001160.879999999</v>
      </c>
      <c r="G16" s="52">
        <f t="shared" si="6"/>
        <v>13872186.109999999</v>
      </c>
      <c r="H16" s="52">
        <f t="shared" ref="H16" si="7">SUM(H5:H15)</f>
        <v>15214102.911600001</v>
      </c>
      <c r="I16" s="52">
        <f t="shared" ref="I16" si="8">SUM(I5:I15)</f>
        <v>12406653.7576</v>
      </c>
      <c r="J16" s="52">
        <f t="shared" ref="J16" si="9">SUM(J5:J15)</f>
        <v>15007630.2576</v>
      </c>
      <c r="K16" s="52">
        <f t="shared" ref="K16" si="10">SUM(K5:K15)</f>
        <v>11634537.7576</v>
      </c>
      <c r="L16" s="52">
        <f t="shared" ref="L16" si="11">SUM(L5:L15)</f>
        <v>10516283.7576</v>
      </c>
      <c r="M16" s="52">
        <f t="shared" ref="M16" si="12">SUM(M5:M15)</f>
        <v>12781066.460000001</v>
      </c>
      <c r="N16" s="52">
        <f t="shared" ref="N16" si="13">SUM(N5:N15)</f>
        <v>11844830.460000001</v>
      </c>
      <c r="O16" s="52">
        <f t="shared" ref="O16" si="14">SUM(O5:O15)</f>
        <v>12125433.460000001</v>
      </c>
      <c r="P16" s="63">
        <f>SUM(P5:P15)</f>
        <v>145223414.81200001</v>
      </c>
      <c r="Q16" s="67">
        <f t="shared" si="5"/>
        <v>-19416902.81200001</v>
      </c>
      <c r="R16" s="134">
        <f t="shared" si="3"/>
        <v>1.1612623164477833</v>
      </c>
      <c r="S16" s="135"/>
    </row>
    <row r="17" spans="1:19" x14ac:dyDescent="0.25">
      <c r="A17" s="53" t="s">
        <v>148</v>
      </c>
      <c r="B17" s="54">
        <f>+B16*25%</f>
        <v>5210688</v>
      </c>
      <c r="C17" s="54">
        <f>+C16*25%</f>
        <v>31264128</v>
      </c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68"/>
      <c r="R17" s="68"/>
      <c r="S17" s="68"/>
    </row>
    <row r="18" spans="1:19" x14ac:dyDescent="0.25">
      <c r="A18" s="55" t="s">
        <v>46</v>
      </c>
      <c r="B18" s="56">
        <f>+B16+B17</f>
        <v>26053440</v>
      </c>
      <c r="C18" s="56">
        <f>+C16+C17</f>
        <v>156320640</v>
      </c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68"/>
      <c r="R18" s="68"/>
      <c r="S18" s="68"/>
    </row>
    <row r="21" spans="1:19" x14ac:dyDescent="0.25">
      <c r="A21" s="347" t="s">
        <v>149</v>
      </c>
      <c r="B21" s="347"/>
      <c r="C21" s="347"/>
      <c r="D21" s="347"/>
      <c r="E21" s="347"/>
      <c r="F21" s="347"/>
      <c r="G21" s="347"/>
      <c r="H21" s="347"/>
      <c r="I21" s="347"/>
      <c r="J21" s="347"/>
      <c r="K21" s="347"/>
      <c r="L21" s="347"/>
      <c r="M21" s="347"/>
      <c r="N21" s="347"/>
      <c r="O21" s="347"/>
      <c r="P21" s="347"/>
      <c r="Q21" s="347"/>
      <c r="R21" s="347"/>
      <c r="S21" s="347"/>
    </row>
    <row r="22" spans="1:19" x14ac:dyDescent="0.25">
      <c r="A22" s="49"/>
      <c r="B22" s="50" t="s">
        <v>123</v>
      </c>
      <c r="C22" s="50" t="s">
        <v>124</v>
      </c>
      <c r="D22" s="348" t="s">
        <v>257</v>
      </c>
      <c r="E22" s="348"/>
      <c r="F22" s="348"/>
      <c r="G22" s="348"/>
      <c r="H22" s="348"/>
      <c r="I22" s="348"/>
      <c r="J22" s="348"/>
      <c r="K22" s="348"/>
      <c r="L22" s="348"/>
      <c r="M22" s="348"/>
      <c r="N22" s="348"/>
      <c r="O22" s="348"/>
      <c r="P22" s="348"/>
      <c r="Q22" s="348"/>
      <c r="R22" s="348"/>
      <c r="S22" s="348"/>
    </row>
    <row r="23" spans="1:19" ht="30" x14ac:dyDescent="0.25">
      <c r="A23" s="51" t="s">
        <v>125</v>
      </c>
      <c r="B23" s="51">
        <v>1</v>
      </c>
      <c r="C23" s="51">
        <v>6</v>
      </c>
      <c r="D23" s="51" t="s">
        <v>126</v>
      </c>
      <c r="E23" s="51" t="s">
        <v>127</v>
      </c>
      <c r="F23" s="51" t="s">
        <v>128</v>
      </c>
      <c r="G23" s="51" t="s">
        <v>129</v>
      </c>
      <c r="H23" s="51" t="s">
        <v>130</v>
      </c>
      <c r="I23" s="51" t="s">
        <v>131</v>
      </c>
      <c r="J23" s="51" t="s">
        <v>132</v>
      </c>
      <c r="K23" s="51" t="s">
        <v>133</v>
      </c>
      <c r="L23" s="51" t="s">
        <v>134</v>
      </c>
      <c r="M23" s="51" t="s">
        <v>135</v>
      </c>
      <c r="N23" s="51" t="s">
        <v>136</v>
      </c>
      <c r="O23" s="51" t="s">
        <v>137</v>
      </c>
      <c r="P23" s="61" t="s">
        <v>46</v>
      </c>
      <c r="Q23" s="65" t="s">
        <v>150</v>
      </c>
      <c r="R23" s="132" t="s">
        <v>242</v>
      </c>
      <c r="S23" s="133" t="s">
        <v>243</v>
      </c>
    </row>
    <row r="24" spans="1:19" x14ac:dyDescent="0.25">
      <c r="A24" s="44" t="s">
        <v>138</v>
      </c>
      <c r="B24" s="45">
        <v>3606240</v>
      </c>
      <c r="C24" s="45">
        <f t="shared" ref="C24:C34" si="15">+B24*$C$23</f>
        <v>21637440</v>
      </c>
      <c r="D24" s="44"/>
      <c r="E24" s="45">
        <f>+'EJECUCION SOC FEB 24'!F51</f>
        <v>721248</v>
      </c>
      <c r="F24" s="45">
        <f>+'EJECUCION SOCIAL MARZO 24'!F51</f>
        <v>3546136</v>
      </c>
      <c r="G24" s="45">
        <f>+'EJECUCION SOCIAL ABRIL 24'!F54</f>
        <v>4116964</v>
      </c>
      <c r="H24" s="45">
        <f>+'EJECUCION SOCIAL MAY 24'!F54</f>
        <v>3711422</v>
      </c>
      <c r="I24" s="45">
        <f>+'EJECUCION SOCIAL JUN 24'!F54</f>
        <v>4567904</v>
      </c>
      <c r="J24" s="45">
        <f>+'EJECUCION SOCIAL JUL 24'!F54</f>
        <v>2744576</v>
      </c>
      <c r="K24" s="45">
        <f>+'EJECUCION SOCIAL AGO 24'!F55</f>
        <v>4327488</v>
      </c>
      <c r="L24" s="45">
        <f>+'EJECUCION SOCIAL SEPTIEMBRE'!F55</f>
        <v>3966864</v>
      </c>
      <c r="M24" s="45">
        <f>+'EJECUCUCION SOCIAL OCTUBRE'!F55</f>
        <v>2404160</v>
      </c>
      <c r="N24" s="45">
        <f>+'EJECUCION SOCIAL NOVIEMBRE'!F55</f>
        <v>3775524</v>
      </c>
      <c r="O24" s="45">
        <f>+'EJECUCION SOCIAL DICIEMBRE'!F55</f>
        <v>71092</v>
      </c>
      <c r="P24" s="62">
        <f>+D24+E24+F24+G24+H24+I24+J24+K24+L24+M24+N24+O24</f>
        <v>33953378</v>
      </c>
      <c r="Q24" s="66">
        <f>+C24-P24</f>
        <v>-12315938</v>
      </c>
      <c r="R24" s="134">
        <f>+P24/C24</f>
        <v>1.5691957089193547</v>
      </c>
      <c r="S24" s="135">
        <f>+Q24/C24</f>
        <v>-0.56919570891935456</v>
      </c>
    </row>
    <row r="25" spans="1:19" x14ac:dyDescent="0.25">
      <c r="A25" s="44" t="s">
        <v>139</v>
      </c>
      <c r="B25" s="45">
        <v>546400</v>
      </c>
      <c r="C25" s="45">
        <f t="shared" si="15"/>
        <v>3278400</v>
      </c>
      <c r="D25" s="45">
        <f>+'EJECUCION SOC ENE 24'!F53</f>
        <v>45714.5</v>
      </c>
      <c r="E25" s="45">
        <f>+'EJECUCION SOC FEB 24'!F56</f>
        <v>1964074.5</v>
      </c>
      <c r="F25" s="45"/>
      <c r="G25" s="44"/>
      <c r="H25" s="45">
        <f>+'EJECUCION SOCIAL MAY 24'!F59</f>
        <v>165000</v>
      </c>
      <c r="I25" s="45"/>
      <c r="J25" s="45">
        <f>+'EJECUCION SOCIAL JUL 24'!F59</f>
        <v>105336</v>
      </c>
      <c r="K25" s="45">
        <f>+'EJECUCION SOCIAL AGO 24'!F60</f>
        <v>10000</v>
      </c>
      <c r="L25" s="45"/>
      <c r="M25" s="45"/>
      <c r="N25" s="45"/>
      <c r="O25" s="45">
        <f>+'EJECUCION SOCIAL DICIEMBRE'!F60</f>
        <v>226118</v>
      </c>
      <c r="P25" s="62">
        <f t="shared" ref="P25:P34" si="16">+D25+E25+F25+G25+H25+I25+J25+K25+L25+M25+N25+O25</f>
        <v>2516243</v>
      </c>
      <c r="Q25" s="66">
        <f t="shared" ref="Q25:Q31" si="17">+C25-P25</f>
        <v>762157</v>
      </c>
      <c r="R25" s="134">
        <f t="shared" ref="R25:R35" si="18">+P25/C25</f>
        <v>0.76752165690580776</v>
      </c>
      <c r="S25" s="135">
        <f t="shared" ref="S25:S35" si="19">+Q25/C25</f>
        <v>0.2324783430941923</v>
      </c>
    </row>
    <row r="26" spans="1:19" x14ac:dyDescent="0.25">
      <c r="A26" s="44" t="s">
        <v>140</v>
      </c>
      <c r="B26" s="45">
        <v>2868600</v>
      </c>
      <c r="C26" s="45">
        <f t="shared" si="15"/>
        <v>17211600</v>
      </c>
      <c r="D26" s="44"/>
      <c r="E26" s="45">
        <f>+'EJECUCION SOC FEB 24'!D53</f>
        <v>198000</v>
      </c>
      <c r="F26" s="45">
        <f>+'EJECUCION SOCIAL MARZO 24'!F53</f>
        <v>2170800</v>
      </c>
      <c r="G26" s="45">
        <f>+'EJECUCION SOCIAL ABRIL 24'!F56</f>
        <v>2366250</v>
      </c>
      <c r="H26" s="45">
        <f>+'EJECUCION SOCIAL MAY 24'!F56</f>
        <v>2088000</v>
      </c>
      <c r="I26" s="45">
        <f>+'EJECUCION SOCIAL JUN 24'!F56</f>
        <v>1548000</v>
      </c>
      <c r="J26" s="45">
        <f>+'EJECUCION SOCIAL JUL 24'!F56</f>
        <v>2222831.5</v>
      </c>
      <c r="K26" s="45">
        <f>+'EJECUCION SOCIAL AGO 24'!F57</f>
        <v>783000</v>
      </c>
      <c r="L26" s="45">
        <f>+'EJECUCION SOCIAL SEPTIEMBRE'!F57</f>
        <v>1032000</v>
      </c>
      <c r="M26" s="45">
        <f>+'EJECUCUCION SOCIAL OCTUBRE'!F57</f>
        <v>1249500</v>
      </c>
      <c r="N26" s="45">
        <f>+'EJECUCION SOCIAL NOVIEMBRE'!F57</f>
        <v>860000</v>
      </c>
      <c r="O26" s="45">
        <f>+'EJECUCION SOCIAL DICIEMBRE'!F57</f>
        <v>1007596.5</v>
      </c>
      <c r="P26" s="62">
        <f t="shared" si="16"/>
        <v>15525978</v>
      </c>
      <c r="Q26" s="66">
        <f t="shared" si="17"/>
        <v>1685622</v>
      </c>
      <c r="R26" s="134">
        <f t="shared" si="18"/>
        <v>0.90206477027121246</v>
      </c>
      <c r="S26" s="135">
        <f t="shared" si="19"/>
        <v>9.7935229728787557E-2</v>
      </c>
    </row>
    <row r="27" spans="1:19" x14ac:dyDescent="0.25">
      <c r="A27" s="44" t="s">
        <v>141</v>
      </c>
      <c r="B27" s="45">
        <v>2868600</v>
      </c>
      <c r="C27" s="45">
        <f t="shared" si="15"/>
        <v>17211600</v>
      </c>
      <c r="D27" s="44"/>
      <c r="E27" s="45"/>
      <c r="F27" s="45">
        <f>+'EJECUCION SOCIAL MARZO 24'!F55</f>
        <v>235000</v>
      </c>
      <c r="G27" s="45">
        <f>+'EJECUCION SOCIAL ABRIL 24'!F58</f>
        <v>526000</v>
      </c>
      <c r="H27" s="45">
        <f>+'EJECUCION SOCIAL MAY 24'!F58</f>
        <v>285000</v>
      </c>
      <c r="I27" s="45"/>
      <c r="J27" s="45">
        <f>+'EJECUCION SOCIAL JUL 24'!D58</f>
        <v>128000</v>
      </c>
      <c r="K27" s="45">
        <f>+'EJECUCION SOCIAL AGO 24'!F59</f>
        <v>128000</v>
      </c>
      <c r="L27" s="45">
        <f>+'EJECUCION SOCIAL SEPTIEMBRE'!F59</f>
        <v>128000</v>
      </c>
      <c r="M27" s="45">
        <f>+'EJECUCUCION SOCIAL OCTUBRE'!F59</f>
        <v>128000</v>
      </c>
      <c r="N27" s="45"/>
      <c r="O27" s="45">
        <f>+'EJECUCION SOCIAL DICIEMBRE'!F59</f>
        <v>64000</v>
      </c>
      <c r="P27" s="62">
        <f t="shared" si="16"/>
        <v>1622000</v>
      </c>
      <c r="Q27" s="66">
        <f t="shared" si="17"/>
        <v>15589600</v>
      </c>
      <c r="R27" s="134">
        <f t="shared" si="18"/>
        <v>9.4238769202165978E-2</v>
      </c>
      <c r="S27" s="135">
        <f t="shared" si="19"/>
        <v>0.90576123079783399</v>
      </c>
    </row>
    <row r="28" spans="1:19" x14ac:dyDescent="0.25">
      <c r="A28" s="44" t="s">
        <v>156</v>
      </c>
      <c r="B28" s="45">
        <v>1092800</v>
      </c>
      <c r="C28" s="45">
        <f t="shared" si="15"/>
        <v>6556800</v>
      </c>
      <c r="D28" s="44"/>
      <c r="E28" s="45"/>
      <c r="F28" s="45"/>
      <c r="G28" s="44"/>
      <c r="H28" s="45">
        <f>+'EJECUCION SOCIAL MAY 24'!F57</f>
        <v>1450000</v>
      </c>
      <c r="I28" s="45">
        <f>+'EJECUCION SOCIAL JUN 24'!F57</f>
        <v>400700</v>
      </c>
      <c r="J28" s="45">
        <f>+'EJECUCION SOCIAL JUL 24'!F57</f>
        <v>91500</v>
      </c>
      <c r="K28" s="45">
        <f>+'EJECUCION SOCIAL AGO 24'!F58</f>
        <v>460000</v>
      </c>
      <c r="L28" s="45">
        <f>+'EJECUCION SOCIAL SEPTIEMBRE'!F58</f>
        <v>59050</v>
      </c>
      <c r="M28" s="45">
        <f>+'EJECUCUCION SOCIAL OCTUBRE'!F58</f>
        <v>765200</v>
      </c>
      <c r="N28" s="45">
        <f>+'EJECUCION SOCIAL NOVIEMBRE'!F58</f>
        <v>588100</v>
      </c>
      <c r="O28" s="45">
        <f>+'EJECUCION SOCIAL DICIEMBRE'!F58</f>
        <v>99200</v>
      </c>
      <c r="P28" s="62">
        <f t="shared" si="16"/>
        <v>3913750</v>
      </c>
      <c r="Q28" s="66">
        <f t="shared" si="17"/>
        <v>2643050</v>
      </c>
      <c r="R28" s="134">
        <f t="shared" si="18"/>
        <v>0.59689940214738901</v>
      </c>
      <c r="S28" s="135">
        <f t="shared" si="19"/>
        <v>0.40310059785261104</v>
      </c>
    </row>
    <row r="29" spans="1:19" x14ac:dyDescent="0.25">
      <c r="A29" s="44" t="s">
        <v>142</v>
      </c>
      <c r="B29" s="45">
        <v>327840</v>
      </c>
      <c r="C29" s="45">
        <f t="shared" si="15"/>
        <v>1967040</v>
      </c>
      <c r="D29" s="44"/>
      <c r="E29" s="44"/>
      <c r="F29" s="44"/>
      <c r="G29" s="44"/>
      <c r="H29" s="44"/>
      <c r="I29" s="44"/>
      <c r="J29" s="44"/>
      <c r="K29" s="44"/>
      <c r="L29" s="44"/>
      <c r="M29" s="44"/>
      <c r="N29" s="44"/>
      <c r="O29" s="44"/>
      <c r="P29" s="62">
        <f t="shared" si="16"/>
        <v>0</v>
      </c>
      <c r="Q29" s="66">
        <f t="shared" si="17"/>
        <v>1967040</v>
      </c>
      <c r="R29" s="134">
        <f t="shared" si="18"/>
        <v>0</v>
      </c>
      <c r="S29" s="135">
        <f t="shared" si="19"/>
        <v>1</v>
      </c>
    </row>
    <row r="30" spans="1:19" x14ac:dyDescent="0.25">
      <c r="A30" s="44" t="s">
        <v>143</v>
      </c>
      <c r="B30" s="45">
        <v>655680</v>
      </c>
      <c r="C30" s="45">
        <f t="shared" si="15"/>
        <v>3934080</v>
      </c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62">
        <f t="shared" si="16"/>
        <v>0</v>
      </c>
      <c r="Q30" s="66">
        <f t="shared" si="17"/>
        <v>3934080</v>
      </c>
      <c r="R30" s="134">
        <f t="shared" si="18"/>
        <v>0</v>
      </c>
      <c r="S30" s="135">
        <f t="shared" si="19"/>
        <v>1</v>
      </c>
    </row>
    <row r="31" spans="1:19" x14ac:dyDescent="0.25">
      <c r="A31" s="44" t="s">
        <v>144</v>
      </c>
      <c r="B31" s="45">
        <v>546400</v>
      </c>
      <c r="C31" s="45">
        <f t="shared" si="15"/>
        <v>3278400</v>
      </c>
      <c r="D31" s="44"/>
      <c r="E31" s="45"/>
      <c r="F31" s="45">
        <f>+'EJECUCION SOCIAL MARZO 24'!F52</f>
        <v>1895027.5</v>
      </c>
      <c r="G31" s="45">
        <f>+'EJECUCION SOCIAL ABRIL 24'!F55</f>
        <v>586584</v>
      </c>
      <c r="H31" s="44"/>
      <c r="I31" s="44"/>
      <c r="J31" s="45"/>
      <c r="K31" s="45"/>
      <c r="L31" s="44"/>
      <c r="M31" s="44"/>
      <c r="N31" s="45"/>
      <c r="O31" s="44"/>
      <c r="P31" s="62">
        <f t="shared" si="16"/>
        <v>2481611.5</v>
      </c>
      <c r="Q31" s="66">
        <f t="shared" si="17"/>
        <v>796788.5</v>
      </c>
      <c r="R31" s="134">
        <f t="shared" si="18"/>
        <v>0.75695811981454364</v>
      </c>
      <c r="S31" s="135">
        <f t="shared" si="19"/>
        <v>0.24304188018545633</v>
      </c>
    </row>
    <row r="32" spans="1:19" x14ac:dyDescent="0.25">
      <c r="A32" s="44" t="s">
        <v>333</v>
      </c>
      <c r="B32" s="45">
        <v>0</v>
      </c>
      <c r="C32" s="45">
        <v>0</v>
      </c>
      <c r="D32" s="45"/>
      <c r="E32" s="45"/>
      <c r="F32" s="45">
        <v>750000</v>
      </c>
      <c r="G32" s="45"/>
      <c r="H32" s="45"/>
      <c r="I32" s="45"/>
      <c r="J32" s="45"/>
      <c r="K32" s="45"/>
      <c r="L32" s="45"/>
      <c r="M32" s="45"/>
      <c r="N32" s="45"/>
      <c r="O32" s="45"/>
      <c r="P32" s="62">
        <f t="shared" si="16"/>
        <v>750000</v>
      </c>
      <c r="Q32" s="66"/>
      <c r="R32" s="134"/>
      <c r="S32" s="135"/>
    </row>
    <row r="33" spans="1:20" x14ac:dyDescent="0.25">
      <c r="A33" s="44" t="s">
        <v>146</v>
      </c>
      <c r="B33" s="45">
        <v>270000</v>
      </c>
      <c r="C33" s="45">
        <f t="shared" si="15"/>
        <v>1620000</v>
      </c>
      <c r="D33" s="45">
        <f>+'EJECUCION SOC ENE 24'!K44*50%+'EJECUCION SOC FEB 24'!D58</f>
        <v>736770.5</v>
      </c>
      <c r="E33" s="45">
        <f>+'EJECUCION SOC FEB 24'!K47*50%+'EJECUCION SOC FEB 24'!F58</f>
        <v>991436.04</v>
      </c>
      <c r="F33" s="45">
        <f>+'EJECUCION SOCIAL MARZO 24'!K47*50%+'EJECUCION SOCIAL MARZO 24'!F59</f>
        <v>860404.12</v>
      </c>
      <c r="G33" s="45"/>
      <c r="H33" s="45"/>
      <c r="I33" s="45"/>
      <c r="J33" s="45">
        <f>+'EJECUCION SOCIAL JUL 24'!F61</f>
        <v>3789337</v>
      </c>
      <c r="K33" s="45"/>
      <c r="L33" s="45"/>
      <c r="M33" s="45">
        <f>+'EJECUCUCION SOCIAL OCTUBRE'!F62</f>
        <v>842750</v>
      </c>
      <c r="N33" s="45">
        <f>+'EJECUCION SOCIAL NOVIEMBRE'!F62</f>
        <v>261750</v>
      </c>
      <c r="O33" s="45">
        <f>+'EJECUCION SOCIAL DICIEMBRE'!F62</f>
        <v>4920120.5</v>
      </c>
      <c r="P33" s="62">
        <f t="shared" si="16"/>
        <v>12402568.16</v>
      </c>
      <c r="Q33" s="66">
        <f>+C33-P33</f>
        <v>-10782568.16</v>
      </c>
      <c r="R33" s="134">
        <f t="shared" si="18"/>
        <v>7.6559062716049384</v>
      </c>
      <c r="S33" s="135">
        <f t="shared" si="19"/>
        <v>-6.6559062716049384</v>
      </c>
    </row>
    <row r="34" spans="1:20" x14ac:dyDescent="0.25">
      <c r="A34" s="44" t="s">
        <v>145</v>
      </c>
      <c r="B34" s="45">
        <v>7011104</v>
      </c>
      <c r="C34" s="45">
        <f t="shared" si="15"/>
        <v>42066624</v>
      </c>
      <c r="D34" s="45">
        <f>+'EJECUCION SOC ENE 24'!K11*50%</f>
        <v>3734931.2</v>
      </c>
      <c r="E34" s="45">
        <f>+'EJECUCION SOC FEB 24'!K12*50%</f>
        <v>5547016.7400000002</v>
      </c>
      <c r="F34" s="45">
        <f>+'EJECUCION SOCIAL MARZO 24'!K12*50%</f>
        <v>4939484.74</v>
      </c>
      <c r="G34" s="45">
        <f>+'EJECUCION SOCIAL ABRIL 24'!F12</f>
        <v>3460668.83</v>
      </c>
      <c r="H34" s="45">
        <f>+'EJECUCION SOCIAL MAY 24'!F12</f>
        <v>3897487.3547999999</v>
      </c>
      <c r="I34" s="45">
        <f>+'EJECUCION SOCIAL JUN 24'!F12</f>
        <v>3054306.9928000001</v>
      </c>
      <c r="J34" s="45">
        <f>+'EJECUCION SOCIAL JUL 24'!F12</f>
        <v>3072306.9928000001</v>
      </c>
      <c r="K34" s="45">
        <f>+'EJECUCION SOCIAL AGO 24'!F12</f>
        <v>3072306.9928000001</v>
      </c>
      <c r="L34" s="45">
        <f>+'EJECUCION SOCIAL SEPTIEMBRE'!F12</f>
        <v>2867746.9928000001</v>
      </c>
      <c r="M34" s="45">
        <f>+'EJECUCUCION SOCIAL OCTUBRE'!F12</f>
        <v>3760892.18</v>
      </c>
      <c r="N34" s="45">
        <f>+'EJECUCION SOCIAL NOVIEMBRE'!F12</f>
        <v>3344892.18</v>
      </c>
      <c r="O34" s="45">
        <f>+'EJECUCION SOCIAL DICIEMBRE'!F12</f>
        <v>3046542.18</v>
      </c>
      <c r="P34" s="62">
        <f t="shared" si="16"/>
        <v>43798583.376000002</v>
      </c>
      <c r="Q34" s="66">
        <f>+C34-P34</f>
        <v>-1731959.376000002</v>
      </c>
      <c r="R34" s="134">
        <f t="shared" si="18"/>
        <v>1.0411718177336979</v>
      </c>
      <c r="S34" s="135">
        <f t="shared" si="19"/>
        <v>-4.1171817733697907E-2</v>
      </c>
    </row>
    <row r="35" spans="1:20" x14ac:dyDescent="0.25">
      <c r="A35" s="51" t="s">
        <v>147</v>
      </c>
      <c r="B35" s="52">
        <f t="shared" ref="B35:Q35" si="20">SUM(B24:B34)</f>
        <v>19793664</v>
      </c>
      <c r="C35" s="52">
        <f t="shared" si="20"/>
        <v>118761984</v>
      </c>
      <c r="D35" s="52">
        <f>SUM(D24:D34)</f>
        <v>4517416.2</v>
      </c>
      <c r="E35" s="52">
        <f t="shared" ref="E35:O35" si="21">SUM(E24:E34)</f>
        <v>9421775.2800000012</v>
      </c>
      <c r="F35" s="52">
        <f t="shared" si="21"/>
        <v>14396852.359999999</v>
      </c>
      <c r="G35" s="52">
        <f t="shared" si="21"/>
        <v>11056466.83</v>
      </c>
      <c r="H35" s="52">
        <f t="shared" si="21"/>
        <v>11596909.354800001</v>
      </c>
      <c r="I35" s="52">
        <f t="shared" si="21"/>
        <v>9570910.9928000011</v>
      </c>
      <c r="J35" s="52">
        <f t="shared" si="21"/>
        <v>12153887.492800001</v>
      </c>
      <c r="K35" s="52">
        <f t="shared" si="21"/>
        <v>8780794.9928000011</v>
      </c>
      <c r="L35" s="52">
        <f t="shared" si="21"/>
        <v>8053660.9928000001</v>
      </c>
      <c r="M35" s="52">
        <f t="shared" si="21"/>
        <v>9150502.1799999997</v>
      </c>
      <c r="N35" s="52">
        <f t="shared" si="21"/>
        <v>8830266.1799999997</v>
      </c>
      <c r="O35" s="52">
        <f t="shared" si="21"/>
        <v>9434669.1799999997</v>
      </c>
      <c r="P35" s="63">
        <f>SUM(P24:P34)</f>
        <v>116964112.036</v>
      </c>
      <c r="Q35" s="67">
        <f t="shared" si="20"/>
        <v>2547871.9639999978</v>
      </c>
      <c r="R35" s="134">
        <f t="shared" si="18"/>
        <v>0.98486155330648573</v>
      </c>
      <c r="S35" s="135">
        <f t="shared" si="19"/>
        <v>2.1453598855337392E-2</v>
      </c>
      <c r="T35" s="162"/>
    </row>
    <row r="36" spans="1:20" x14ac:dyDescent="0.25">
      <c r="A36" s="53" t="s">
        <v>148</v>
      </c>
      <c r="B36" s="54">
        <f>+B35*25%</f>
        <v>4948416</v>
      </c>
      <c r="C36" s="54">
        <f>+C35*25%</f>
        <v>29690496</v>
      </c>
      <c r="D36" s="44"/>
      <c r="E36" s="44"/>
      <c r="F36" s="44"/>
      <c r="G36" s="44"/>
      <c r="H36" s="44"/>
      <c r="I36" s="44"/>
      <c r="J36" s="44"/>
      <c r="K36" s="44"/>
      <c r="L36" s="44"/>
      <c r="M36" s="44"/>
      <c r="N36" s="44"/>
      <c r="O36" s="44"/>
      <c r="P36" s="64"/>
      <c r="Q36" s="68"/>
      <c r="R36" s="68"/>
      <c r="S36" s="68"/>
    </row>
    <row r="37" spans="1:20" x14ac:dyDescent="0.25">
      <c r="A37" s="55" t="s">
        <v>46</v>
      </c>
      <c r="B37" s="56">
        <f>+B35+B36</f>
        <v>24742080</v>
      </c>
      <c r="C37" s="56">
        <f>+C35+C36</f>
        <v>148452480</v>
      </c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P37" s="64"/>
      <c r="Q37" s="68"/>
      <c r="R37" s="68"/>
      <c r="S37" s="68"/>
    </row>
    <row r="40" spans="1:20" x14ac:dyDescent="0.25">
      <c r="A40" s="347" t="s">
        <v>334</v>
      </c>
      <c r="B40" s="347"/>
      <c r="C40" s="347"/>
      <c r="D40" s="347"/>
      <c r="E40" s="347"/>
      <c r="F40" s="347"/>
      <c r="G40" s="347"/>
      <c r="H40" s="347"/>
      <c r="I40" s="347"/>
      <c r="J40" s="347"/>
      <c r="K40" s="347"/>
      <c r="L40" s="347"/>
      <c r="M40" s="347"/>
      <c r="N40" s="347"/>
      <c r="O40" s="347"/>
      <c r="P40" s="347"/>
      <c r="Q40" s="347"/>
      <c r="R40" s="347"/>
      <c r="S40" s="347"/>
    </row>
    <row r="41" spans="1:20" x14ac:dyDescent="0.25">
      <c r="A41" s="49"/>
      <c r="B41" s="50"/>
      <c r="C41" s="50"/>
      <c r="D41" s="348" t="s">
        <v>257</v>
      </c>
      <c r="E41" s="348"/>
      <c r="F41" s="348"/>
      <c r="G41" s="348"/>
      <c r="H41" s="348"/>
      <c r="I41" s="348"/>
      <c r="J41" s="348"/>
      <c r="K41" s="348"/>
      <c r="L41" s="348"/>
      <c r="M41" s="348"/>
      <c r="N41" s="348"/>
      <c r="O41" s="348"/>
      <c r="P41" s="348"/>
      <c r="Q41" s="348"/>
      <c r="R41" s="348"/>
      <c r="S41" s="348"/>
    </row>
    <row r="42" spans="1:20" ht="30" x14ac:dyDescent="0.25">
      <c r="A42" s="51" t="s">
        <v>125</v>
      </c>
      <c r="B42" s="51" t="s">
        <v>336</v>
      </c>
      <c r="C42" s="51">
        <v>10</v>
      </c>
      <c r="D42" s="51" t="s">
        <v>126</v>
      </c>
      <c r="E42" s="51" t="s">
        <v>127</v>
      </c>
      <c r="F42" s="51" t="s">
        <v>128</v>
      </c>
      <c r="G42" s="51" t="s">
        <v>129</v>
      </c>
      <c r="H42" s="51" t="s">
        <v>130</v>
      </c>
      <c r="I42" s="51" t="s">
        <v>131</v>
      </c>
      <c r="J42" s="51" t="s">
        <v>132</v>
      </c>
      <c r="K42" s="51" t="s">
        <v>133</v>
      </c>
      <c r="L42" s="51" t="s">
        <v>134</v>
      </c>
      <c r="M42" s="51" t="s">
        <v>135</v>
      </c>
      <c r="N42" s="51" t="s">
        <v>136</v>
      </c>
      <c r="O42" s="51" t="s">
        <v>137</v>
      </c>
      <c r="P42" s="61" t="s">
        <v>46</v>
      </c>
      <c r="Q42" s="65" t="s">
        <v>150</v>
      </c>
      <c r="R42" s="132" t="s">
        <v>242</v>
      </c>
      <c r="S42" s="133" t="s">
        <v>243</v>
      </c>
    </row>
    <row r="43" spans="1:20" x14ac:dyDescent="0.25">
      <c r="A43" s="44" t="s">
        <v>335</v>
      </c>
      <c r="B43" s="45">
        <v>2230000</v>
      </c>
      <c r="C43" s="45">
        <f>+B43*C42</f>
        <v>22300000</v>
      </c>
      <c r="D43" s="45">
        <f>+'EJECUCION SOC ENE 24'!J11+'EJECUCION SOC ENE 24'!J44</f>
        <v>1254161.5</v>
      </c>
      <c r="E43" s="45">
        <f>+'EJECUCION SOC FEB 24'!J12+'EJECUCION SOC FEB 24'!J47</f>
        <v>1850857.02</v>
      </c>
      <c r="F43" s="45">
        <f>+'EJECUCION SOCIAL MARZO 24'!J12+'EJECUCION SOCIAL MARZO 24'!J47+1500000</f>
        <v>2985757.88</v>
      </c>
      <c r="G43" s="45">
        <f>+'EJECUCION SOCIAL ABRIL 24'!J12+'EJECUCION SOCIAL ABRIL 24'!J50</f>
        <v>1529663.9600000002</v>
      </c>
      <c r="H43" s="45">
        <f>+'EJECUCION SOCIAL MAY 24'!J50</f>
        <v>26661.84</v>
      </c>
      <c r="I43" s="45">
        <f>+'EJECUCION SOCIAL JUN 24'!J12+'EJECUCION SOCIAL JUN 24'!J50</f>
        <v>1572411.5024000001</v>
      </c>
      <c r="J43" s="45">
        <f>+'EJECUCION SOCIAL JUL 24'!J12+'EJECUCION SOCIAL JUL 24'!J50</f>
        <v>1558771.4624000001</v>
      </c>
      <c r="K43" s="45">
        <f>+'EJECUCION SOCIAL AGO 24'!J12+'EJECUCION SOCIAL AGO 24'!J51</f>
        <v>1592560.4824000001</v>
      </c>
      <c r="L43" s="45">
        <f>+'EJECUCION SOCIAL SEPTIEMBRE'!J12+'EJECUCION SOCIAL SEPTIEMBRE'!J51</f>
        <v>1339351.1424</v>
      </c>
      <c r="M43" s="45">
        <f>+'EJECUCUCION SOCIAL OCTUBRE'!J12+'EJECUCUCION SOCIAL OCTUBRE'!J51</f>
        <v>2135626.38</v>
      </c>
      <c r="N43" s="45">
        <f>+'EJECUCION SOCIAL NOVIEMBRE'!J12+'EJECUCION SOCIAL NOVIEMBRE'!J51</f>
        <v>1621411.3800000001</v>
      </c>
      <c r="O43" s="45">
        <f>+'EJECUCION SOCIAL DICIEMBRE'!J12+'EJECUCION SOCIAL DICIEMBRE'!J51</f>
        <v>1482825.9200000002</v>
      </c>
      <c r="P43" s="62">
        <f>+D43+E43+F43+G43+H43+I43+J43+K43+L43+M43+N43+O43</f>
        <v>18950060.469600003</v>
      </c>
      <c r="Q43" s="66">
        <f>+C43-P43</f>
        <v>3349939.5303999968</v>
      </c>
      <c r="R43" s="134">
        <f>+P43/C43</f>
        <v>0.849778496394619</v>
      </c>
      <c r="S43" s="135">
        <f>+Q43/C43</f>
        <v>0.15022150360538103</v>
      </c>
    </row>
    <row r="44" spans="1:20" x14ac:dyDescent="0.25">
      <c r="A44" s="51" t="s">
        <v>147</v>
      </c>
      <c r="B44" s="52"/>
      <c r="C44" s="52">
        <f>+C43</f>
        <v>22300000</v>
      </c>
      <c r="D44" s="52">
        <f>+D43</f>
        <v>1254161.5</v>
      </c>
      <c r="E44" s="52">
        <f t="shared" ref="E44:L44" si="22">+E43</f>
        <v>1850857.02</v>
      </c>
      <c r="F44" s="52">
        <f t="shared" si="22"/>
        <v>2985757.88</v>
      </c>
      <c r="G44" s="52">
        <f t="shared" si="22"/>
        <v>1529663.9600000002</v>
      </c>
      <c r="H44" s="52">
        <f t="shared" si="22"/>
        <v>26661.84</v>
      </c>
      <c r="I44" s="52">
        <f t="shared" si="22"/>
        <v>1572411.5024000001</v>
      </c>
      <c r="J44" s="52">
        <f t="shared" si="22"/>
        <v>1558771.4624000001</v>
      </c>
      <c r="K44" s="52">
        <f t="shared" si="22"/>
        <v>1592560.4824000001</v>
      </c>
      <c r="L44" s="52">
        <f t="shared" si="22"/>
        <v>1339351.1424</v>
      </c>
      <c r="M44" s="52">
        <f t="shared" ref="M44:O44" si="23">SUM(M33:M43)</f>
        <v>15889770.739999998</v>
      </c>
      <c r="N44" s="52">
        <f t="shared" si="23"/>
        <v>14058319.74</v>
      </c>
      <c r="O44" s="52">
        <f t="shared" si="23"/>
        <v>18884157.780000001</v>
      </c>
      <c r="P44" s="63">
        <f>+D44+E44+F44+G44+H44+J44+I44+K44+L44</f>
        <v>13710196.7896</v>
      </c>
      <c r="Q44" s="67">
        <f>+Q43</f>
        <v>3349939.5303999968</v>
      </c>
      <c r="R44" s="134">
        <f t="shared" ref="R44" si="24">+P44/C44</f>
        <v>0.61480703092376676</v>
      </c>
      <c r="S44" s="135">
        <f t="shared" ref="S44" si="25">+Q44/C44</f>
        <v>0.15022150360538103</v>
      </c>
    </row>
  </sheetData>
  <mergeCells count="9">
    <mergeCell ref="A1:Q1"/>
    <mergeCell ref="A21:S21"/>
    <mergeCell ref="Q22:S22"/>
    <mergeCell ref="A40:S40"/>
    <mergeCell ref="D41:P41"/>
    <mergeCell ref="Q41:S41"/>
    <mergeCell ref="D22:P22"/>
    <mergeCell ref="A2:Q2"/>
    <mergeCell ref="D3:Q3"/>
  </mergeCells>
  <pageMargins left="0.7" right="0.7" top="0.75" bottom="0.75" header="0.3" footer="0.3"/>
  <pageSetup orientation="portrait" horizontalDpi="4294967292" verticalDpi="0" r:id="rId1"/>
  <ignoredErrors>
    <ignoredError sqref="B16 B35" formulaRange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9"/>
  <sheetViews>
    <sheetView workbookViewId="0">
      <selection activeCell="G19" sqref="G19"/>
    </sheetView>
  </sheetViews>
  <sheetFormatPr baseColWidth="10" defaultRowHeight="15" x14ac:dyDescent="0.25"/>
  <cols>
    <col min="1" max="1" width="39.7109375" customWidth="1"/>
    <col min="2" max="2" width="14.7109375" customWidth="1"/>
    <col min="3" max="3" width="9.7109375" customWidth="1"/>
    <col min="4" max="4" width="10.42578125" customWidth="1"/>
    <col min="5" max="5" width="12.140625" customWidth="1"/>
    <col min="6" max="6" width="11" customWidth="1"/>
    <col min="7" max="7" width="9.85546875" customWidth="1"/>
    <col min="8" max="8" width="17.7109375" customWidth="1"/>
    <col min="9" max="9" width="14.140625" customWidth="1"/>
    <col min="10" max="10" width="13.7109375" customWidth="1"/>
    <col min="11" max="11" width="12.85546875" customWidth="1"/>
  </cols>
  <sheetData>
    <row r="1" spans="1:12" x14ac:dyDescent="0.25">
      <c r="A1" s="137" t="s">
        <v>167</v>
      </c>
      <c r="B1" s="138" t="s">
        <v>177</v>
      </c>
      <c r="C1" s="139" t="s">
        <v>92</v>
      </c>
      <c r="D1" s="139" t="s">
        <v>93</v>
      </c>
      <c r="E1" s="139" t="s">
        <v>94</v>
      </c>
      <c r="F1" s="139" t="s">
        <v>95</v>
      </c>
      <c r="G1" s="139" t="s">
        <v>96</v>
      </c>
      <c r="H1" s="140" t="s">
        <v>97</v>
      </c>
      <c r="I1" s="140" t="s">
        <v>98</v>
      </c>
      <c r="J1" s="140" t="s">
        <v>99</v>
      </c>
      <c r="K1" s="140" t="s">
        <v>100</v>
      </c>
      <c r="L1" s="141"/>
    </row>
    <row r="2" spans="1:12" ht="90" x14ac:dyDescent="0.25">
      <c r="A2" s="142" t="s">
        <v>168</v>
      </c>
      <c r="B2" s="74" t="s">
        <v>112</v>
      </c>
      <c r="C2" s="76" t="s">
        <v>158</v>
      </c>
      <c r="D2" s="76" t="s">
        <v>159</v>
      </c>
      <c r="E2" s="75" t="s">
        <v>160</v>
      </c>
      <c r="F2" s="75" t="s">
        <v>161</v>
      </c>
      <c r="G2" s="75" t="s">
        <v>162</v>
      </c>
      <c r="H2" s="76" t="s">
        <v>163</v>
      </c>
      <c r="I2" s="77" t="s">
        <v>164</v>
      </c>
      <c r="J2" s="78" t="s">
        <v>165</v>
      </c>
      <c r="K2" s="78" t="s">
        <v>194</v>
      </c>
      <c r="L2" s="143" t="s">
        <v>197</v>
      </c>
    </row>
    <row r="3" spans="1:12" x14ac:dyDescent="0.25">
      <c r="A3" s="144" t="s">
        <v>55</v>
      </c>
      <c r="B3" s="91">
        <v>0.2</v>
      </c>
      <c r="C3" s="86">
        <v>0</v>
      </c>
      <c r="D3" s="86">
        <v>0</v>
      </c>
      <c r="E3" s="86">
        <v>0</v>
      </c>
      <c r="F3" s="86">
        <v>0</v>
      </c>
      <c r="G3" s="86">
        <v>0.05</v>
      </c>
      <c r="H3" s="86">
        <v>0.05</v>
      </c>
      <c r="I3" s="88">
        <v>0.2</v>
      </c>
      <c r="J3" s="88">
        <v>0.3</v>
      </c>
      <c r="K3" s="88">
        <v>0.2</v>
      </c>
      <c r="L3" s="145">
        <f>+B3+C3+D3+E3+F3+G3+H3+I3+J3+K3</f>
        <v>1</v>
      </c>
    </row>
    <row r="4" spans="1:12" x14ac:dyDescent="0.25">
      <c r="A4" s="144" t="s">
        <v>67</v>
      </c>
      <c r="B4" s="91">
        <v>0.35</v>
      </c>
      <c r="C4" s="86">
        <v>0</v>
      </c>
      <c r="D4" s="86">
        <v>0</v>
      </c>
      <c r="E4" s="86">
        <v>0</v>
      </c>
      <c r="F4" s="86">
        <v>0.01</v>
      </c>
      <c r="G4" s="86">
        <v>0.02</v>
      </c>
      <c r="H4" s="86">
        <v>0.05</v>
      </c>
      <c r="I4" s="88">
        <v>0.2</v>
      </c>
      <c r="J4" s="88">
        <v>0.27</v>
      </c>
      <c r="K4" s="88">
        <v>0.1</v>
      </c>
      <c r="L4" s="145">
        <f t="shared" ref="L4:L9" si="0">+B4+C4+D4+E4+F4+G4+H4+I4+J4+K4</f>
        <v>1</v>
      </c>
    </row>
    <row r="5" spans="1:12" x14ac:dyDescent="0.25">
      <c r="A5" s="144" t="s">
        <v>74</v>
      </c>
      <c r="B5" s="91">
        <v>0</v>
      </c>
      <c r="C5" s="86">
        <v>0.4</v>
      </c>
      <c r="D5" s="86">
        <v>0.6</v>
      </c>
      <c r="E5" s="86">
        <v>0</v>
      </c>
      <c r="F5" s="86">
        <v>0</v>
      </c>
      <c r="G5" s="86">
        <v>0</v>
      </c>
      <c r="H5" s="86">
        <v>0</v>
      </c>
      <c r="I5" s="88">
        <v>0</v>
      </c>
      <c r="J5" s="88">
        <v>0</v>
      </c>
      <c r="K5" s="88">
        <v>0</v>
      </c>
      <c r="L5" s="145">
        <f t="shared" si="0"/>
        <v>1</v>
      </c>
    </row>
    <row r="6" spans="1:12" x14ac:dyDescent="0.25">
      <c r="A6" s="144" t="s">
        <v>106</v>
      </c>
      <c r="B6" s="91">
        <v>0.2</v>
      </c>
      <c r="C6" s="86">
        <v>0.1</v>
      </c>
      <c r="D6" s="86">
        <v>0.3</v>
      </c>
      <c r="E6" s="86">
        <v>0.3</v>
      </c>
      <c r="F6" s="86">
        <v>0</v>
      </c>
      <c r="G6" s="86">
        <v>0.05</v>
      </c>
      <c r="H6" s="86">
        <v>0.05</v>
      </c>
      <c r="I6" s="88">
        <v>0</v>
      </c>
      <c r="J6" s="88">
        <v>0</v>
      </c>
      <c r="K6" s="88">
        <v>0</v>
      </c>
      <c r="L6" s="145">
        <f t="shared" si="0"/>
        <v>1.0000000000000002</v>
      </c>
    </row>
    <row r="7" spans="1:12" x14ac:dyDescent="0.25">
      <c r="A7" s="144" t="s">
        <v>109</v>
      </c>
      <c r="B7" s="91">
        <v>0</v>
      </c>
      <c r="C7" s="86">
        <v>0.25</v>
      </c>
      <c r="D7" s="86">
        <v>0.45</v>
      </c>
      <c r="E7" s="86">
        <v>0.2</v>
      </c>
      <c r="F7" s="86">
        <v>0</v>
      </c>
      <c r="G7" s="86">
        <v>0</v>
      </c>
      <c r="H7" s="86">
        <v>0.05</v>
      </c>
      <c r="I7" s="88">
        <v>0</v>
      </c>
      <c r="J7" s="88">
        <v>0.05</v>
      </c>
      <c r="K7" s="88">
        <v>0</v>
      </c>
      <c r="L7" s="145">
        <f t="shared" si="0"/>
        <v>1</v>
      </c>
    </row>
    <row r="8" spans="1:12" x14ac:dyDescent="0.25">
      <c r="A8" s="144" t="s">
        <v>184</v>
      </c>
      <c r="B8" s="91">
        <v>0.2</v>
      </c>
      <c r="C8" s="86">
        <v>0.1</v>
      </c>
      <c r="D8" s="86">
        <v>0.3</v>
      </c>
      <c r="E8" s="86">
        <v>0.1</v>
      </c>
      <c r="F8" s="86">
        <v>0</v>
      </c>
      <c r="G8" s="86">
        <v>0.05</v>
      </c>
      <c r="H8" s="86">
        <v>0.05</v>
      </c>
      <c r="I8" s="88">
        <v>0</v>
      </c>
      <c r="J8" s="88">
        <v>0.1</v>
      </c>
      <c r="K8" s="88">
        <v>0.1</v>
      </c>
      <c r="L8" s="145">
        <f t="shared" si="0"/>
        <v>1.0000000000000002</v>
      </c>
    </row>
    <row r="9" spans="1:12" ht="15.75" thickBot="1" x14ac:dyDescent="0.3">
      <c r="A9" s="146" t="s">
        <v>185</v>
      </c>
      <c r="B9" s="147">
        <v>0.2</v>
      </c>
      <c r="C9" s="148">
        <v>0.1</v>
      </c>
      <c r="D9" s="148">
        <v>0.2</v>
      </c>
      <c r="E9" s="148">
        <v>0.15</v>
      </c>
      <c r="F9" s="148">
        <v>0</v>
      </c>
      <c r="G9" s="148">
        <v>0.05</v>
      </c>
      <c r="H9" s="148">
        <v>0.1</v>
      </c>
      <c r="I9" s="149">
        <v>0</v>
      </c>
      <c r="J9" s="149">
        <v>0.2</v>
      </c>
      <c r="K9" s="149">
        <v>0</v>
      </c>
      <c r="L9" s="150">
        <f t="shared" si="0"/>
        <v>1</v>
      </c>
    </row>
  </sheetData>
  <pageMargins left="0.7" right="0.7" top="0.75" bottom="0.75" header="0.3" footer="0.3"/>
  <pageSetup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BALANCE DIC-24</vt:lpstr>
      <vt:lpstr>ER AJUSTADO ENE-JUL CC 2024</vt:lpstr>
      <vt:lpstr>ER A JUL 2024</vt:lpstr>
      <vt:lpstr>EJECUCION SOC ENE 24</vt:lpstr>
      <vt:lpstr>EJECUCION SOC FEB 24</vt:lpstr>
      <vt:lpstr>ER INTEGRAL 24</vt:lpstr>
      <vt:lpstr>EJECUCION SOCIAL MARZO 24</vt:lpstr>
      <vt:lpstr>EJECUCION SOCIAL ABRIL 24</vt:lpstr>
      <vt:lpstr>EJECUCION SOCIAL MAY 24</vt:lpstr>
      <vt:lpstr>EJECUCION SOCIAL JUN 24</vt:lpstr>
      <vt:lpstr>EJECUCION SOCIAL JUL 24</vt:lpstr>
      <vt:lpstr>EJECUCION SOCIAL AGO 24</vt:lpstr>
      <vt:lpstr>EJECUCION SOCIAL SEPTIEMBRE</vt:lpstr>
      <vt:lpstr>EJECUCUCION SOCIAL OCTUBRE</vt:lpstr>
      <vt:lpstr>EJECUCION SOCIAL NOVIEMBRE</vt:lpstr>
      <vt:lpstr>EJECUCION SOCIAL DICIEMBRE</vt:lpstr>
      <vt:lpstr> NOMINAS ENE-DIC</vt:lpstr>
      <vt:lpstr>EJECUCION COMFAMA</vt:lpstr>
      <vt:lpstr>%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CONSULTORIA INTEGRAL</cp:lastModifiedBy>
  <cp:lastPrinted>2019-07-20T16:15:52Z</cp:lastPrinted>
  <dcterms:created xsi:type="dcterms:W3CDTF">2019-07-16T20:33:55Z</dcterms:created>
  <dcterms:modified xsi:type="dcterms:W3CDTF">2025-01-20T17:49:35Z</dcterms:modified>
</cp:coreProperties>
</file>